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 activeTab="7"/>
  </bookViews>
  <sheets>
    <sheet name="Коянды" sheetId="3" r:id="rId1"/>
    <sheet name="1кв2019" sheetId="4" r:id="rId2"/>
    <sheet name="2кв2019" sheetId="5" r:id="rId3"/>
    <sheet name="3кв2019" sheetId="6" r:id="rId4"/>
    <sheet name="4кв2019" sheetId="8" r:id="rId5"/>
    <sheet name="Лист1" sheetId="9" r:id="rId6"/>
    <sheet name="1кв2020" sheetId="10" r:id="rId7"/>
    <sheet name="2кв2020" sheetId="11" r:id="rId8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1"/>
  <c r="C20"/>
  <c r="C33"/>
  <c r="D33"/>
  <c r="E33"/>
  <c r="E29"/>
  <c r="D32" l="1"/>
  <c r="D30"/>
  <c r="E32" l="1"/>
  <c r="D31"/>
  <c r="C32" l="1"/>
  <c r="C31"/>
  <c r="C30"/>
  <c r="E28"/>
  <c r="D28" s="1"/>
  <c r="D27"/>
  <c r="C27"/>
  <c r="E25"/>
  <c r="D25" s="1"/>
  <c r="D24"/>
  <c r="C24"/>
  <c r="D21"/>
  <c r="C21"/>
  <c r="E22"/>
  <c r="E19"/>
  <c r="D19" s="1"/>
  <c r="D18"/>
  <c r="C18"/>
  <c r="E15"/>
  <c r="E13" s="1"/>
  <c r="E12" s="1"/>
  <c r="E20" i="10"/>
  <c r="E30"/>
  <c r="E32"/>
  <c r="C15" i="11" l="1"/>
  <c r="C13" s="1"/>
  <c r="C12" s="1"/>
  <c r="C25"/>
  <c r="C28"/>
  <c r="C19"/>
  <c r="C22"/>
  <c r="D22"/>
  <c r="D15"/>
  <c r="D13" s="1"/>
  <c r="D12" s="1"/>
  <c r="E29" i="10"/>
  <c r="D29" s="1"/>
  <c r="D33"/>
  <c r="C33"/>
  <c r="D32"/>
  <c r="C32"/>
  <c r="D31"/>
  <c r="C31"/>
  <c r="D30"/>
  <c r="C30"/>
  <c r="C29"/>
  <c r="E28"/>
  <c r="D28" s="1"/>
  <c r="D27"/>
  <c r="C27"/>
  <c r="D26"/>
  <c r="C26"/>
  <c r="E25"/>
  <c r="D25" s="1"/>
  <c r="D24"/>
  <c r="C24"/>
  <c r="D23"/>
  <c r="C23"/>
  <c r="E22"/>
  <c r="D22" s="1"/>
  <c r="D21"/>
  <c r="C21"/>
  <c r="D20"/>
  <c r="C20"/>
  <c r="E19"/>
  <c r="D19" s="1"/>
  <c r="D18"/>
  <c r="C18"/>
  <c r="D17"/>
  <c r="C17"/>
  <c r="E15"/>
  <c r="D15"/>
  <c r="E13"/>
  <c r="E12" s="1"/>
  <c r="E30" i="8"/>
  <c r="C15" i="10" l="1"/>
  <c r="C13" s="1"/>
  <c r="C12" s="1"/>
  <c r="C22"/>
  <c r="D13"/>
  <c r="D12" s="1"/>
  <c r="C28"/>
  <c r="C25"/>
  <c r="C19"/>
  <c r="C30" i="8"/>
  <c r="D30"/>
  <c r="C33"/>
  <c r="D33"/>
  <c r="C32"/>
  <c r="D32"/>
  <c r="C29" l="1"/>
  <c r="D29"/>
  <c r="C26"/>
  <c r="D26"/>
  <c r="C23"/>
  <c r="D23"/>
  <c r="C20"/>
  <c r="D20"/>
  <c r="C17"/>
  <c r="D17"/>
  <c r="D18" i="6" l="1"/>
  <c r="E12"/>
  <c r="D31" i="8"/>
  <c r="C31"/>
  <c r="E28"/>
  <c r="D27"/>
  <c r="C27"/>
  <c r="E25"/>
  <c r="D24"/>
  <c r="C24"/>
  <c r="E22"/>
  <c r="D21"/>
  <c r="C21"/>
  <c r="E19"/>
  <c r="D18"/>
  <c r="C18"/>
  <c r="D15"/>
  <c r="D13" s="1"/>
  <c r="D12" s="1"/>
  <c r="E15"/>
  <c r="E13" s="1"/>
  <c r="E12" s="1"/>
  <c r="E30" i="6"/>
  <c r="C30" s="1"/>
  <c r="C32"/>
  <c r="D17"/>
  <c r="D15" s="1"/>
  <c r="C17"/>
  <c r="C15" s="1"/>
  <c r="E32"/>
  <c r="E29"/>
  <c r="C26"/>
  <c r="E15"/>
  <c r="E15" i="5"/>
  <c r="E13"/>
  <c r="D28" i="8" l="1"/>
  <c r="C28"/>
  <c r="D25"/>
  <c r="C25"/>
  <c r="D19"/>
  <c r="C19"/>
  <c r="D22"/>
  <c r="C22"/>
  <c r="C15"/>
  <c r="E13" i="6"/>
  <c r="J35"/>
  <c r="C13" i="8" l="1"/>
  <c r="C12" s="1"/>
  <c r="D33" i="6"/>
  <c r="C33"/>
  <c r="D32"/>
  <c r="D31"/>
  <c r="C31"/>
  <c r="D30"/>
  <c r="D29"/>
  <c r="C29"/>
  <c r="E28"/>
  <c r="D28" s="1"/>
  <c r="D27"/>
  <c r="C27"/>
  <c r="D26"/>
  <c r="E25"/>
  <c r="D25" s="1"/>
  <c r="D24"/>
  <c r="C24"/>
  <c r="D23"/>
  <c r="C23"/>
  <c r="E22"/>
  <c r="D22" s="1"/>
  <c r="D21"/>
  <c r="C21"/>
  <c r="D20"/>
  <c r="C20"/>
  <c r="C13" s="1"/>
  <c r="C12" s="1"/>
  <c r="E19"/>
  <c r="D19" s="1"/>
  <c r="C18"/>
  <c r="E33" i="5"/>
  <c r="E30"/>
  <c r="D13" i="6" l="1"/>
  <c r="D12" s="1"/>
  <c r="C28"/>
  <c r="C25"/>
  <c r="C22"/>
  <c r="C19"/>
  <c r="C33" i="5"/>
  <c r="C31"/>
  <c r="D33"/>
  <c r="D32"/>
  <c r="C32"/>
  <c r="D31"/>
  <c r="D30"/>
  <c r="C30"/>
  <c r="D29"/>
  <c r="C29"/>
  <c r="E28"/>
  <c r="D28" s="1"/>
  <c r="D27"/>
  <c r="C27"/>
  <c r="D26"/>
  <c r="C26"/>
  <c r="E25"/>
  <c r="D25" s="1"/>
  <c r="D24"/>
  <c r="C24"/>
  <c r="D23"/>
  <c r="C23"/>
  <c r="E22"/>
  <c r="D22" s="1"/>
  <c r="D21"/>
  <c r="C21"/>
  <c r="D20"/>
  <c r="C20"/>
  <c r="E19"/>
  <c r="D19" s="1"/>
  <c r="D18"/>
  <c r="C18"/>
  <c r="D17"/>
  <c r="C17"/>
  <c r="E12"/>
  <c r="D15"/>
  <c r="E30" i="4"/>
  <c r="D13" i="5" l="1"/>
  <c r="D12" s="1"/>
  <c r="C22"/>
  <c r="C15"/>
  <c r="C13" s="1"/>
  <c r="C12" s="1"/>
  <c r="C25"/>
  <c r="C28"/>
  <c r="C19"/>
  <c r="C30" i="4"/>
  <c r="C33"/>
  <c r="C29"/>
  <c r="C28"/>
  <c r="C26"/>
  <c r="C23"/>
  <c r="C20"/>
  <c r="C17"/>
  <c r="D33"/>
  <c r="D32"/>
  <c r="C32"/>
  <c r="D31"/>
  <c r="C31"/>
  <c r="D30"/>
  <c r="D29"/>
  <c r="E28"/>
  <c r="D28" s="1"/>
  <c r="D27"/>
  <c r="C27"/>
  <c r="D26"/>
  <c r="E25"/>
  <c r="D25" s="1"/>
  <c r="D24"/>
  <c r="C24"/>
  <c r="D23"/>
  <c r="E22"/>
  <c r="D22" s="1"/>
  <c r="D21"/>
  <c r="C21"/>
  <c r="D20"/>
  <c r="E19"/>
  <c r="D19" s="1"/>
  <c r="D18"/>
  <c r="C18"/>
  <c r="D17"/>
  <c r="E15"/>
  <c r="E13" s="1"/>
  <c r="E12" s="1"/>
  <c r="H29" i="3"/>
  <c r="H26"/>
  <c r="H23"/>
  <c r="H20"/>
  <c r="H17"/>
  <c r="G35"/>
  <c r="F35"/>
  <c r="E15"/>
  <c r="D33"/>
  <c r="C33"/>
  <c r="D32"/>
  <c r="C32"/>
  <c r="D31"/>
  <c r="C31"/>
  <c r="D30"/>
  <c r="C30"/>
  <c r="D29"/>
  <c r="C29"/>
  <c r="E28"/>
  <c r="D28" s="1"/>
  <c r="C28"/>
  <c r="D27"/>
  <c r="C27"/>
  <c r="D26"/>
  <c r="C26"/>
  <c r="E25"/>
  <c r="D25" s="1"/>
  <c r="D24"/>
  <c r="C24"/>
  <c r="D23"/>
  <c r="C23"/>
  <c r="E22"/>
  <c r="D22" s="1"/>
  <c r="D21"/>
  <c r="C21"/>
  <c r="D20"/>
  <c r="C20"/>
  <c r="E19"/>
  <c r="D19" s="1"/>
  <c r="D18"/>
  <c r="C18"/>
  <c r="D17"/>
  <c r="D15" s="1"/>
  <c r="D13" s="1"/>
  <c r="D12" s="1"/>
  <c r="C17"/>
  <c r="E13"/>
  <c r="E12" s="1"/>
  <c r="C15" i="4" l="1"/>
  <c r="C13" s="1"/>
  <c r="C12" s="1"/>
  <c r="C25"/>
  <c r="D15"/>
  <c r="D13" s="1"/>
  <c r="D12" s="1"/>
  <c r="C22"/>
  <c r="C19"/>
  <c r="C15" i="3"/>
  <c r="H35"/>
  <c r="C13"/>
  <c r="C12" s="1"/>
  <c r="C25"/>
  <c r="C22"/>
  <c r="C19"/>
</calcChain>
</file>

<file path=xl/sharedStrings.xml><?xml version="1.0" encoding="utf-8"?>
<sst xmlns="http://schemas.openxmlformats.org/spreadsheetml/2006/main" count="404" uniqueCount="58">
  <si>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</si>
  <si>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</si>
  <si>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</si>
  <si>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</si>
  <si>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</si>
  <si>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</si>
  <si>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</si>
  <si>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</si>
  <si>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</si>
  <si>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</si>
  <si>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</si>
  <si>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</si>
  <si>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</si>
  <si>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</si>
  <si>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</si>
  <si>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</si>
  <si>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</si>
  <si>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</si>
  <si>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</si>
  <si>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</si>
  <si>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</si>
  <si>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</si>
  <si>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</si>
  <si>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</si>
  <si>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</si>
  <si>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</si>
  <si>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</si>
  <si>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</si>
  <si>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</si>
  <si>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</si>
  <si>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СШ№20 с.Коянды</t>
  </si>
  <si>
    <t>по состоянию на "1"ноября 2018г.</t>
  </si>
  <si>
    <t>за окт ноядек</t>
  </si>
  <si>
    <t>общ итог за 12 мес</t>
  </si>
  <si>
    <t>по состоянию на "01"апреля 2019г.</t>
  </si>
  <si>
    <t>по состоянию на "01"июля 2019г.</t>
  </si>
  <si>
    <t>фонд124465274+оздор21518188+больн+538679=146522144</t>
  </si>
  <si>
    <t>2019 год</t>
  </si>
  <si>
    <t>ипн соц налог</t>
  </si>
  <si>
    <t>Админ</t>
  </si>
  <si>
    <t>зп октябрь</t>
  </si>
  <si>
    <t>9,5 ст</t>
  </si>
  <si>
    <t>нач</t>
  </si>
  <si>
    <t>ипн</t>
  </si>
  <si>
    <t>соц.н</t>
  </si>
  <si>
    <t>прочий пед персонал</t>
  </si>
  <si>
    <t>7 ст</t>
  </si>
  <si>
    <t>вожатые</t>
  </si>
  <si>
    <t>2ст</t>
  </si>
  <si>
    <t>тех персонал</t>
  </si>
  <si>
    <t>53 ст</t>
  </si>
  <si>
    <t>учителя осн персонал</t>
  </si>
  <si>
    <t>по состоянию на "01" октября 2019г.</t>
  </si>
  <si>
    <t>по состоянию на "01" января 2020г.</t>
  </si>
  <si>
    <t>3.1. Административный персонал</t>
  </si>
  <si>
    <t>по состоянию на "01" апреля 2020г.</t>
  </si>
  <si>
    <t>2020 год</t>
  </si>
  <si>
    <t>по состоянию на "01" июля 2020г.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</si>
</sst>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2" borderId="2" xfId="0" applyFont="1" applyFill="1" applyBorder="1"/>
    <xf numFmtId="164" fontId="7" fillId="0" borderId="2" xfId="0" applyNumberFormat="1" applyFont="1" applyBorder="1"/>
    <xf numFmtId="164" fontId="7" fillId="2" borderId="2" xfId="0" applyNumberFormat="1" applyFont="1" applyFill="1" applyBorder="1"/>
    <xf numFmtId="0" fontId="7" fillId="0" borderId="2" xfId="0" applyFont="1" applyBorder="1"/>
    <xf numFmtId="1" fontId="7" fillId="3" borderId="2" xfId="0" applyNumberFormat="1" applyFont="1" applyFill="1" applyBorder="1"/>
    <xf numFmtId="1" fontId="7" fillId="0" borderId="2" xfId="0" applyNumberFormat="1" applyFont="1" applyBorder="1"/>
    <xf numFmtId="1" fontId="7" fillId="2" borderId="2" xfId="0" applyNumberFormat="1" applyFont="1" applyFill="1" applyBorder="1"/>
    <xf numFmtId="164" fontId="8" fillId="2" borderId="2" xfId="0" applyNumberFormat="1" applyFont="1" applyFill="1" applyBorder="1"/>
    <xf numFmtId="2" fontId="2" fillId="0" borderId="0" xfId="0" applyNumberFormat="1" applyFont="1"/>
    <xf numFmtId="0" fontId="2" fillId="4" borderId="0" xfId="0" applyFont="1" applyFill="1"/>
    <xf numFmtId="2" fontId="2" fillId="4" borderId="0" xfId="0" applyNumberFormat="1" applyFont="1" applyFill="1"/>
    <xf numFmtId="0" fontId="2" fillId="2" borderId="0" xfId="0" applyFont="1" applyFill="1"/>
    <xf numFmtId="164" fontId="2" fillId="2" borderId="0" xfId="0" applyNumberFormat="1" applyFont="1" applyFill="1"/>
    <xf numFmtId="2" fontId="2" fillId="2" borderId="0" xfId="0" applyNumberFormat="1" applyFont="1" applyFill="1"/>
    <xf numFmtId="0" fontId="1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top"/>
    </xf>
    <xf numFmtId="0" fontId="6" fillId="2" borderId="0" xfId="0" applyFont="1" applyFill="1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/>
    <xf numFmtId="0" fontId="4" fillId="2" borderId="2" xfId="0" applyFont="1" applyFill="1" applyBorder="1"/>
    <xf numFmtId="0" fontId="5" fillId="2" borderId="2" xfId="0" applyFont="1" applyFill="1" applyBorder="1"/>
    <xf numFmtId="0" fontId="2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3" borderId="0" xfId="0" applyFont="1" applyFill="1"/>
    <xf numFmtId="0" fontId="4" fillId="3" borderId="0" xfId="0" applyFont="1" applyFill="1"/>
    <xf numFmtId="2" fontId="2" fillId="3" borderId="0" xfId="0" applyNumberFormat="1" applyFont="1" applyFill="1"/>
    <xf numFmtId="164" fontId="2" fillId="4" borderId="0" xfId="0" applyNumberFormat="1" applyFont="1" applyFill="1"/>
    <xf numFmtId="1" fontId="0" fillId="2" borderId="2" xfId="0" applyNumberFormat="1" applyFill="1" applyBorder="1" applyAlignment="1"/>
    <xf numFmtId="0" fontId="1" fillId="3" borderId="0" xfId="0" applyFont="1" applyFill="1"/>
    <xf numFmtId="0" fontId="5" fillId="3" borderId="0" xfId="0" applyFont="1" applyFill="1" applyAlignment="1">
      <alignment horizontal="center" vertical="top"/>
    </xf>
    <xf numFmtId="0" fontId="6" fillId="3" borderId="0" xfId="0" applyFont="1" applyFill="1"/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/>
    <xf numFmtId="0" fontId="5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/>
    <xf numFmtId="0" fontId="3" fillId="3" borderId="2" xfId="0" applyFont="1" applyFill="1" applyBorder="1"/>
    <xf numFmtId="164" fontId="7" fillId="3" borderId="2" xfId="0" applyNumberFormat="1" applyFont="1" applyFill="1" applyBorder="1"/>
    <xf numFmtId="0" fontId="4" fillId="3" borderId="2" xfId="0" applyFont="1" applyFill="1" applyBorder="1"/>
    <xf numFmtId="0" fontId="5" fillId="3" borderId="2" xfId="0" applyFont="1" applyFill="1" applyBorder="1"/>
    <xf numFmtId="0" fontId="2" fillId="3" borderId="2" xfId="0" applyFont="1" applyFill="1" applyBorder="1"/>
    <xf numFmtId="164" fontId="2" fillId="3" borderId="0" xfId="0" applyNumberFormat="1" applyFont="1" applyFill="1"/>
    <xf numFmtId="0" fontId="5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1" fontId="0" fillId="3" borderId="2" xfId="0" applyNumberFormat="1" applyFill="1" applyBorder="1" applyAlignment="1"/>
    <xf numFmtId="0" fontId="9" fillId="3" borderId="0" xfId="0" applyFont="1" applyFill="1"/>
    <xf numFmtId="0" fontId="0" fillId="3" borderId="0" xfId="0" applyFill="1"/>
    <xf numFmtId="164" fontId="7" fillId="4" borderId="2" xfId="0" applyNumberFormat="1" applyFont="1" applyFill="1" applyBorder="1"/>
    <xf numFmtId="164" fontId="8" fillId="4" borderId="2" xfId="0" applyNumberFormat="1" applyFont="1" applyFill="1" applyBorder="1"/>
    <xf numFmtId="0" fontId="7" fillId="4" borderId="2" xfId="0" applyFont="1" applyFill="1" applyBorder="1"/>
    <xf numFmtId="2" fontId="7" fillId="3" borderId="2" xfId="0" applyNumberFormat="1" applyFont="1" applyFill="1" applyBorder="1"/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top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5"/>
  <sheetViews>
    <sheetView topLeftCell="A13" workbookViewId="0">
      <selection sqref="A1:XFD1048576"/>
    </sheetView>
  </sheetViews>
  <sheetFormatPr defaultColWidth="9.140625" defaultRowHeight="20.25"/>
  <cols>
    <col min="1" max="1" width="65.7109375" style="2" customWidth="1"/>
    <col min="2" max="2" width="10.85546875" style="3" customWidth="1"/>
    <col min="3" max="3" width="12.7109375" style="2" customWidth="1"/>
    <col min="4" max="4" width="12.5703125" style="2" customWidth="1"/>
    <col min="5" max="5" width="12" style="2" customWidth="1"/>
    <col min="6" max="6" width="17.7109375" style="2" customWidth="1"/>
    <col min="7" max="7" width="16.7109375" style="26" customWidth="1"/>
    <col min="8" max="8" width="17" style="28" customWidth="1"/>
    <col min="9" max="9" width="9.140625" style="2"/>
    <col min="10" max="10" width="16.140625" style="2" customWidth="1"/>
    <col min="11" max="11" width="16.7109375" style="2" customWidth="1"/>
    <col min="12" max="16384" width="9.140625" style="2"/>
  </cols>
  <sheetData>
    <row r="1" spans="1:11">
      <c r="A1" s="83" t="s">
        <v>15</v>
      </c>
      <c r="B1" s="83"/>
      <c r="C1" s="83"/>
      <c r="D1" s="83"/>
      <c r="E1" s="83"/>
    </row>
    <row r="2" spans="1:11">
      <c r="A2" s="83" t="s">
        <v>31</v>
      </c>
      <c r="B2" s="83"/>
      <c r="C2" s="83"/>
      <c r="D2" s="83"/>
      <c r="E2" s="83"/>
    </row>
    <row r="3" spans="1:11">
      <c r="A3" s="1"/>
    </row>
    <row r="4" spans="1:11">
      <c r="A4" s="84"/>
      <c r="B4" s="84"/>
      <c r="C4" s="84"/>
      <c r="D4" s="84"/>
      <c r="E4" s="84"/>
    </row>
    <row r="5" spans="1:11" ht="15.75" customHeight="1">
      <c r="A5" s="85" t="s">
        <v>17</v>
      </c>
      <c r="B5" s="85"/>
      <c r="C5" s="85"/>
      <c r="D5" s="85"/>
      <c r="E5" s="85"/>
    </row>
    <row r="6" spans="1:11">
      <c r="A6" s="4"/>
    </row>
    <row r="7" spans="1:11">
      <c r="A7" s="13" t="s">
        <v>18</v>
      </c>
    </row>
    <row r="8" spans="1:11">
      <c r="A8" s="1" t="s">
        <v>30</v>
      </c>
    </row>
    <row r="9" spans="1:11">
      <c r="A9" s="86" t="s">
        <v>29</v>
      </c>
      <c r="B9" s="87" t="s">
        <v>19</v>
      </c>
      <c r="C9" s="86" t="s">
        <v>16</v>
      </c>
      <c r="D9" s="86"/>
      <c r="E9" s="86"/>
    </row>
    <row r="10" spans="1:11" ht="40.5">
      <c r="A10" s="86"/>
      <c r="B10" s="87"/>
      <c r="C10" s="16" t="s">
        <v>20</v>
      </c>
      <c r="D10" s="16" t="s">
        <v>21</v>
      </c>
      <c r="E10" s="15" t="s">
        <v>14</v>
      </c>
      <c r="G10" s="2" t="s">
        <v>32</v>
      </c>
      <c r="H10" s="28" t="s">
        <v>33</v>
      </c>
    </row>
    <row r="11" spans="1:11">
      <c r="A11" s="5" t="s">
        <v>22</v>
      </c>
      <c r="B11" s="6" t="s">
        <v>10</v>
      </c>
      <c r="C11" s="17">
        <v>2783</v>
      </c>
      <c r="D11" s="17">
        <v>2783</v>
      </c>
      <c r="E11" s="17">
        <v>2783</v>
      </c>
    </row>
    <row r="12" spans="1:11">
      <c r="A12" s="10" t="s">
        <v>25</v>
      </c>
      <c r="B12" s="6" t="s">
        <v>2</v>
      </c>
      <c r="C12" s="21">
        <f t="shared" ref="C12:D12" si="0">+C13/C11</f>
        <v>143.52669780812076</v>
      </c>
      <c r="D12" s="21">
        <f t="shared" si="0"/>
        <v>108.57836866690621</v>
      </c>
      <c r="E12" s="21">
        <f>+E13/E11</f>
        <v>108.57836866690621</v>
      </c>
    </row>
    <row r="13" spans="1:11">
      <c r="A13" s="5" t="s">
        <v>11</v>
      </c>
      <c r="B13" s="6" t="s">
        <v>2</v>
      </c>
      <c r="C13" s="18">
        <f t="shared" ref="C13:D13" si="1">SUM(C15+C29+C30+C31+C32+C33)</f>
        <v>399434.80000000005</v>
      </c>
      <c r="D13" s="18">
        <f t="shared" si="1"/>
        <v>302173.59999999998</v>
      </c>
      <c r="E13" s="18">
        <f>SUM(E15+E29+E30+E31+E32+E33)</f>
        <v>302173.59999999998</v>
      </c>
    </row>
    <row r="14" spans="1:11">
      <c r="A14" s="8" t="s">
        <v>0</v>
      </c>
      <c r="B14" s="9"/>
      <c r="C14" s="22"/>
      <c r="D14" s="22"/>
      <c r="E14" s="22"/>
    </row>
    <row r="15" spans="1:11">
      <c r="A15" s="5" t="s">
        <v>12</v>
      </c>
      <c r="B15" s="6" t="s">
        <v>2</v>
      </c>
      <c r="C15" s="18">
        <f>SUM(C17+C20+C23+C26)</f>
        <v>341930.13333333336</v>
      </c>
      <c r="D15" s="18">
        <f>SUM(D17+D20+D23+D26)</f>
        <v>256447.6</v>
      </c>
      <c r="E15" s="18">
        <f>SUM(E17+E20+E23+E26)</f>
        <v>256447.6</v>
      </c>
      <c r="K15" s="2">
        <v>256448874</v>
      </c>
    </row>
    <row r="16" spans="1:11">
      <c r="A16" s="8" t="s">
        <v>1</v>
      </c>
      <c r="B16" s="9"/>
      <c r="C16" s="22"/>
      <c r="D16" s="22"/>
      <c r="E16" s="22"/>
    </row>
    <row r="17" spans="1:10">
      <c r="A17" s="7" t="s">
        <v>13</v>
      </c>
      <c r="B17" s="6" t="s">
        <v>2</v>
      </c>
      <c r="C17" s="18">
        <f>SUM(+E17/9)*12</f>
        <v>12161.6</v>
      </c>
      <c r="D17" s="18">
        <f>SUM(E17)</f>
        <v>9121.2000000000007</v>
      </c>
      <c r="E17" s="24">
        <v>9121.2000000000007</v>
      </c>
      <c r="F17" s="25"/>
      <c r="G17" s="26">
        <v>2754.91</v>
      </c>
      <c r="H17" s="29">
        <f>SUM(E17+G17)</f>
        <v>11876.11</v>
      </c>
      <c r="J17" s="2">
        <v>9121215</v>
      </c>
    </row>
    <row r="18" spans="1:10">
      <c r="A18" s="10" t="s">
        <v>4</v>
      </c>
      <c r="B18" s="11" t="s">
        <v>3</v>
      </c>
      <c r="C18" s="22">
        <f>+E18</f>
        <v>10</v>
      </c>
      <c r="D18" s="22">
        <f t="shared" ref="D18:D33" si="2">SUM(E18)</f>
        <v>10</v>
      </c>
      <c r="E18" s="23">
        <v>10</v>
      </c>
    </row>
    <row r="19" spans="1:10" ht="21.95" customHeight="1">
      <c r="A19" s="10" t="s">
        <v>27</v>
      </c>
      <c r="B19" s="6" t="s">
        <v>28</v>
      </c>
      <c r="C19" s="18">
        <f t="shared" ref="C19" si="3">SUM(+E19/9)*12</f>
        <v>1216.1600000000001</v>
      </c>
      <c r="D19" s="22">
        <f t="shared" si="2"/>
        <v>912.12000000000012</v>
      </c>
      <c r="E19" s="22">
        <f>+E17/E18</f>
        <v>912.12000000000012</v>
      </c>
    </row>
    <row r="20" spans="1:10">
      <c r="A20" s="7" t="s">
        <v>23</v>
      </c>
      <c r="B20" s="6" t="s">
        <v>2</v>
      </c>
      <c r="C20" s="18">
        <f>SUM(+E20/9)*12</f>
        <v>297197.33333333337</v>
      </c>
      <c r="D20" s="18">
        <f>SUM(E20)</f>
        <v>222898</v>
      </c>
      <c r="E20" s="19">
        <v>222898</v>
      </c>
      <c r="F20" s="25"/>
      <c r="G20" s="26">
        <v>72879.570000000007</v>
      </c>
      <c r="H20" s="29">
        <f>SUM(E20+G20)</f>
        <v>295777.57</v>
      </c>
      <c r="J20" s="2">
        <v>222898972</v>
      </c>
    </row>
    <row r="21" spans="1:10">
      <c r="A21" s="10" t="s">
        <v>4</v>
      </c>
      <c r="B21" s="11" t="s">
        <v>3</v>
      </c>
      <c r="C21" s="22">
        <f>+E21</f>
        <v>183</v>
      </c>
      <c r="D21" s="22">
        <f t="shared" ref="D21" si="4">SUM(E21)</f>
        <v>183</v>
      </c>
      <c r="E21" s="23">
        <v>183</v>
      </c>
    </row>
    <row r="22" spans="1:10" ht="21.95" customHeight="1">
      <c r="A22" s="10" t="s">
        <v>27</v>
      </c>
      <c r="B22" s="6" t="s">
        <v>28</v>
      </c>
      <c r="C22" s="18">
        <f t="shared" ref="C22" si="5">SUM(+E22/9)*12</f>
        <v>1624.0291438979962</v>
      </c>
      <c r="D22" s="22">
        <f t="shared" si="2"/>
        <v>1218.0218579234972</v>
      </c>
      <c r="E22" s="22">
        <f>+E20/E21</f>
        <v>1218.0218579234972</v>
      </c>
    </row>
    <row r="23" spans="1:10" ht="39">
      <c r="A23" s="14" t="s">
        <v>26</v>
      </c>
      <c r="B23" s="6" t="s">
        <v>2</v>
      </c>
      <c r="C23" s="18">
        <f>SUM(+E23/9)*12</f>
        <v>7384.5333333333328</v>
      </c>
      <c r="D23" s="22">
        <f>SUM(E23)</f>
        <v>5538.4</v>
      </c>
      <c r="E23" s="19">
        <v>5538.4</v>
      </c>
      <c r="F23" s="25"/>
      <c r="G23" s="26">
        <v>1690.5</v>
      </c>
      <c r="H23" s="29">
        <f>SUM(E23+G23)</f>
        <v>7228.9</v>
      </c>
      <c r="J23" s="2">
        <v>5538407</v>
      </c>
    </row>
    <row r="24" spans="1:10">
      <c r="A24" s="10" t="s">
        <v>4</v>
      </c>
      <c r="B24" s="11" t="s">
        <v>3</v>
      </c>
      <c r="C24" s="22">
        <f>+E24</f>
        <v>8.5</v>
      </c>
      <c r="D24" s="22">
        <f t="shared" ref="D24" si="6">SUM(E24)</f>
        <v>8.5</v>
      </c>
      <c r="E24" s="23">
        <v>8.5</v>
      </c>
    </row>
    <row r="25" spans="1:10" ht="21.95" customHeight="1">
      <c r="A25" s="10" t="s">
        <v>27</v>
      </c>
      <c r="B25" s="6" t="s">
        <v>28</v>
      </c>
      <c r="C25" s="22">
        <f t="shared" ref="C25" si="7">SUM(+E25/9)*12</f>
        <v>868.76862745098038</v>
      </c>
      <c r="D25" s="22">
        <f t="shared" si="2"/>
        <v>651.57647058823522</v>
      </c>
      <c r="E25" s="22">
        <f>+E23/E24</f>
        <v>651.57647058823522</v>
      </c>
    </row>
    <row r="26" spans="1:10">
      <c r="A26" s="7" t="s">
        <v>24</v>
      </c>
      <c r="B26" s="6" t="s">
        <v>2</v>
      </c>
      <c r="C26" s="18">
        <f>SUM(+E26/9)*12</f>
        <v>25186.666666666664</v>
      </c>
      <c r="D26" s="22">
        <f>SUM(E26)</f>
        <v>18890</v>
      </c>
      <c r="E26" s="19">
        <v>18890</v>
      </c>
      <c r="F26" s="25"/>
      <c r="G26" s="26">
        <v>5870.6</v>
      </c>
      <c r="H26" s="29">
        <f>SUM(E26+G26)</f>
        <v>24760.6</v>
      </c>
      <c r="J26" s="2">
        <v>18890280</v>
      </c>
    </row>
    <row r="27" spans="1:10">
      <c r="A27" s="10" t="s">
        <v>4</v>
      </c>
      <c r="B27" s="11" t="s">
        <v>3</v>
      </c>
      <c r="C27" s="22">
        <f>+E27</f>
        <v>53.5</v>
      </c>
      <c r="D27" s="22">
        <f t="shared" ref="D27" si="8">SUM(E27)</f>
        <v>53.5</v>
      </c>
      <c r="E27" s="19">
        <v>53.5</v>
      </c>
    </row>
    <row r="28" spans="1:10" ht="21.95" customHeight="1">
      <c r="A28" s="10" t="s">
        <v>27</v>
      </c>
      <c r="B28" s="6" t="s">
        <v>28</v>
      </c>
      <c r="C28" s="22">
        <f t="shared" ref="C28" si="9">SUM(+E28/9)*12</f>
        <v>470.77881619937693</v>
      </c>
      <c r="D28" s="22">
        <f t="shared" si="2"/>
        <v>353.0841121495327</v>
      </c>
      <c r="E28" s="22">
        <f>+E26/E27</f>
        <v>353.0841121495327</v>
      </c>
    </row>
    <row r="29" spans="1:10">
      <c r="A29" s="5" t="s">
        <v>5</v>
      </c>
      <c r="B29" s="6" t="s">
        <v>2</v>
      </c>
      <c r="C29" s="18">
        <f>SUM(E29)</f>
        <v>10390</v>
      </c>
      <c r="D29" s="18">
        <f>SUM(E29)</f>
        <v>10390</v>
      </c>
      <c r="E29" s="18">
        <v>10390</v>
      </c>
      <c r="F29" s="25"/>
      <c r="G29" s="26">
        <v>3150.7</v>
      </c>
      <c r="H29" s="29">
        <f>SUM(E29+G29)</f>
        <v>13540.7</v>
      </c>
      <c r="J29" s="2">
        <v>10390684</v>
      </c>
    </row>
    <row r="30" spans="1:10" ht="36.75">
      <c r="A30" s="12" t="s">
        <v>6</v>
      </c>
      <c r="B30" s="6" t="s">
        <v>2</v>
      </c>
      <c r="C30" s="18">
        <f t="shared" ref="C30" si="10">SUM(+E30/9)*12</f>
        <v>1742.6666666666667</v>
      </c>
      <c r="D30" s="18">
        <f t="shared" si="2"/>
        <v>1307</v>
      </c>
      <c r="E30" s="19">
        <v>1307</v>
      </c>
      <c r="J30" s="2">
        <v>1307857</v>
      </c>
    </row>
    <row r="31" spans="1:10">
      <c r="A31" s="12" t="s">
        <v>7</v>
      </c>
      <c r="B31" s="6" t="s">
        <v>2</v>
      </c>
      <c r="C31" s="18">
        <f t="shared" ref="C31:C33" si="11">SUM(+E31/9)*12</f>
        <v>5681.3333333333339</v>
      </c>
      <c r="D31" s="18">
        <f t="shared" si="2"/>
        <v>4261</v>
      </c>
      <c r="E31" s="19">
        <v>4261</v>
      </c>
      <c r="J31" s="2">
        <v>426164</v>
      </c>
    </row>
    <row r="32" spans="1:10" ht="36.75">
      <c r="A32" s="12" t="s">
        <v>8</v>
      </c>
      <c r="B32" s="6" t="s">
        <v>2</v>
      </c>
      <c r="C32" s="18">
        <f t="shared" si="11"/>
        <v>522.66666666666674</v>
      </c>
      <c r="D32" s="20">
        <f t="shared" si="2"/>
        <v>392</v>
      </c>
      <c r="E32" s="19">
        <v>392</v>
      </c>
      <c r="J32" s="2">
        <v>392000</v>
      </c>
    </row>
    <row r="33" spans="1:10" ht="43.5" customHeight="1">
      <c r="A33" s="12" t="s">
        <v>9</v>
      </c>
      <c r="B33" s="6" t="s">
        <v>2</v>
      </c>
      <c r="C33" s="18">
        <f t="shared" si="11"/>
        <v>39168</v>
      </c>
      <c r="D33" s="18">
        <f t="shared" si="2"/>
        <v>29376</v>
      </c>
      <c r="E33" s="19">
        <v>29376</v>
      </c>
      <c r="J33" s="2">
        <v>29376082</v>
      </c>
    </row>
    <row r="35" spans="1:10">
      <c r="F35" s="25">
        <f>SUM(F17+F20+F23+F26+F29)</f>
        <v>0</v>
      </c>
      <c r="G35" s="27">
        <f>SUM(G17+G20+G23+G26+G29)</f>
        <v>86346.280000000013</v>
      </c>
      <c r="H35" s="30">
        <f>SUM(H17+H20+H23+H26+H29)</f>
        <v>353183.88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23622047244094491" right="0.11811023622047245" top="0.74803149606299213" bottom="0.74803149606299213" header="0.31496062992125984" footer="0.31496062992125984"/>
  <pageSetup paperSize="9" scale="78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5"/>
  <sheetViews>
    <sheetView topLeftCell="A4" workbookViewId="0">
      <selection activeCell="D17" sqref="D17"/>
    </sheetView>
  </sheetViews>
  <sheetFormatPr defaultColWidth="9.140625" defaultRowHeight="20.25"/>
  <cols>
    <col min="1" max="1" width="65.7109375" style="2" customWidth="1"/>
    <col min="2" max="2" width="10.85546875" style="3" customWidth="1"/>
    <col min="3" max="3" width="12.7109375" style="2" customWidth="1"/>
    <col min="4" max="4" width="12.5703125" style="2" customWidth="1"/>
    <col min="5" max="5" width="12" style="2" customWidth="1"/>
    <col min="6" max="6" width="17.7109375" style="2" customWidth="1"/>
    <col min="7" max="7" width="16.7109375" style="26" customWidth="1"/>
    <col min="8" max="8" width="17" style="28" customWidth="1"/>
    <col min="9" max="9" width="9.140625" style="2"/>
    <col min="10" max="10" width="16.140625" style="2" customWidth="1"/>
    <col min="11" max="11" width="16.7109375" style="2" customWidth="1"/>
    <col min="12" max="16384" width="9.140625" style="2"/>
  </cols>
  <sheetData>
    <row r="1" spans="1:7">
      <c r="A1" s="88" t="s">
        <v>15</v>
      </c>
      <c r="B1" s="88"/>
      <c r="C1" s="88"/>
      <c r="D1" s="88"/>
      <c r="E1" s="88"/>
    </row>
    <row r="2" spans="1:7">
      <c r="A2" s="88" t="s">
        <v>34</v>
      </c>
      <c r="B2" s="88"/>
      <c r="C2" s="88"/>
      <c r="D2" s="88"/>
      <c r="E2" s="88"/>
    </row>
    <row r="3" spans="1:7">
      <c r="A3" s="31"/>
      <c r="B3" s="32"/>
      <c r="C3" s="28"/>
      <c r="D3" s="28"/>
      <c r="E3" s="28"/>
    </row>
    <row r="4" spans="1:7">
      <c r="A4" s="89"/>
      <c r="B4" s="89"/>
      <c r="C4" s="89"/>
      <c r="D4" s="89"/>
      <c r="E4" s="89"/>
    </row>
    <row r="5" spans="1:7" ht="15.75" customHeight="1">
      <c r="A5" s="90" t="s">
        <v>17</v>
      </c>
      <c r="B5" s="90"/>
      <c r="C5" s="90"/>
      <c r="D5" s="90"/>
      <c r="E5" s="90"/>
    </row>
    <row r="6" spans="1:7">
      <c r="A6" s="33"/>
      <c r="B6" s="32"/>
      <c r="C6" s="28"/>
      <c r="D6" s="28"/>
      <c r="E6" s="28"/>
    </row>
    <row r="7" spans="1:7">
      <c r="A7" s="34" t="s">
        <v>18</v>
      </c>
      <c r="B7" s="32"/>
      <c r="C7" s="28"/>
      <c r="D7" s="28"/>
      <c r="E7" s="28"/>
    </row>
    <row r="8" spans="1:7">
      <c r="A8" s="31" t="s">
        <v>30</v>
      </c>
      <c r="B8" s="32"/>
      <c r="C8" s="28"/>
      <c r="D8" s="28"/>
      <c r="E8" s="28"/>
    </row>
    <row r="9" spans="1:7">
      <c r="A9" s="91" t="s">
        <v>29</v>
      </c>
      <c r="B9" s="92" t="s">
        <v>19</v>
      </c>
      <c r="C9" s="91" t="s">
        <v>16</v>
      </c>
      <c r="D9" s="91"/>
      <c r="E9" s="91"/>
    </row>
    <row r="10" spans="1:7" ht="40.5">
      <c r="A10" s="91"/>
      <c r="B10" s="92"/>
      <c r="C10" s="35" t="s">
        <v>20</v>
      </c>
      <c r="D10" s="35" t="s">
        <v>21</v>
      </c>
      <c r="E10" s="36" t="s">
        <v>14</v>
      </c>
      <c r="G10" s="2"/>
    </row>
    <row r="11" spans="1:7">
      <c r="A11" s="37" t="s">
        <v>22</v>
      </c>
      <c r="B11" s="38" t="s">
        <v>10</v>
      </c>
      <c r="C11" s="17">
        <v>2783</v>
      </c>
      <c r="D11" s="17">
        <v>2783</v>
      </c>
      <c r="E11" s="17">
        <v>2783</v>
      </c>
    </row>
    <row r="12" spans="1:7">
      <c r="A12" s="39" t="s">
        <v>25</v>
      </c>
      <c r="B12" s="38" t="s">
        <v>2</v>
      </c>
      <c r="C12" s="23">
        <f t="shared" ref="C12:D12" si="0">+C13/C11</f>
        <v>29.766259432267343</v>
      </c>
      <c r="D12" s="23">
        <f t="shared" si="0"/>
        <v>10.508695652173913</v>
      </c>
      <c r="E12" s="23">
        <f>+E13/E11</f>
        <v>10.508695652173913</v>
      </c>
    </row>
    <row r="13" spans="1:7">
      <c r="A13" s="37" t="s">
        <v>11</v>
      </c>
      <c r="B13" s="38" t="s">
        <v>2</v>
      </c>
      <c r="C13" s="19">
        <f t="shared" ref="C13:D13" si="1">SUM(C15+C29+C30+C31+C32+C33)</f>
        <v>82839.500000000015</v>
      </c>
      <c r="D13" s="19">
        <f t="shared" si="1"/>
        <v>29245.7</v>
      </c>
      <c r="E13" s="19">
        <f>SUM(E15+E29+E30+E31+E32+E33)</f>
        <v>29245.7</v>
      </c>
    </row>
    <row r="14" spans="1:7">
      <c r="A14" s="40" t="s">
        <v>0</v>
      </c>
      <c r="B14" s="41"/>
      <c r="C14" s="23"/>
      <c r="D14" s="23"/>
      <c r="E14" s="23"/>
    </row>
    <row r="15" spans="1:7">
      <c r="A15" s="37" t="s">
        <v>12</v>
      </c>
      <c r="B15" s="38" t="s">
        <v>2</v>
      </c>
      <c r="C15" s="19">
        <f>SUM(C17+C20+C23+C26)</f>
        <v>75992.100000000006</v>
      </c>
      <c r="D15" s="19">
        <f>SUM(D17+D20+D23+D26)</f>
        <v>25330.7</v>
      </c>
      <c r="E15" s="19">
        <f>SUM(E17+E20+E23+E26)</f>
        <v>25330.7</v>
      </c>
    </row>
    <row r="16" spans="1:7">
      <c r="A16" s="40" t="s">
        <v>1</v>
      </c>
      <c r="B16" s="41"/>
      <c r="C16" s="23"/>
      <c r="D16" s="23"/>
      <c r="E16" s="23"/>
    </row>
    <row r="17" spans="1:8">
      <c r="A17" s="42" t="s">
        <v>13</v>
      </c>
      <c r="B17" s="38" t="s">
        <v>2</v>
      </c>
      <c r="C17" s="19">
        <f>SUM(+E17*3)</f>
        <v>5526.9</v>
      </c>
      <c r="D17" s="19">
        <f>SUM(E17)</f>
        <v>1842.3</v>
      </c>
      <c r="E17" s="24">
        <v>1842.3</v>
      </c>
      <c r="F17" s="25"/>
      <c r="H17" s="29"/>
    </row>
    <row r="18" spans="1:8">
      <c r="A18" s="39" t="s">
        <v>4</v>
      </c>
      <c r="B18" s="43" t="s">
        <v>3</v>
      </c>
      <c r="C18" s="23">
        <f>+E18</f>
        <v>10</v>
      </c>
      <c r="D18" s="23">
        <f t="shared" ref="D18:D33" si="2">SUM(E18)</f>
        <v>10</v>
      </c>
      <c r="E18" s="23">
        <v>10</v>
      </c>
    </row>
    <row r="19" spans="1:8">
      <c r="A19" s="39" t="s">
        <v>27</v>
      </c>
      <c r="B19" s="38" t="s">
        <v>28</v>
      </c>
      <c r="C19" s="19">
        <f>SUM(+E19*3)</f>
        <v>552.68999999999994</v>
      </c>
      <c r="D19" s="23">
        <f t="shared" si="2"/>
        <v>184.23</v>
      </c>
      <c r="E19" s="23">
        <f>+E17/E18</f>
        <v>184.23</v>
      </c>
    </row>
    <row r="20" spans="1:8">
      <c r="A20" s="42" t="s">
        <v>23</v>
      </c>
      <c r="B20" s="38" t="s">
        <v>2</v>
      </c>
      <c r="C20" s="19">
        <f>SUM(+E20*3)</f>
        <v>60629.700000000004</v>
      </c>
      <c r="D20" s="19">
        <f>SUM(E20)</f>
        <v>20209.900000000001</v>
      </c>
      <c r="E20" s="19">
        <v>20209.900000000001</v>
      </c>
      <c r="F20" s="25"/>
      <c r="H20" s="29"/>
    </row>
    <row r="21" spans="1:8">
      <c r="A21" s="39" t="s">
        <v>4</v>
      </c>
      <c r="B21" s="43" t="s">
        <v>3</v>
      </c>
      <c r="C21" s="23">
        <f>+E21</f>
        <v>183</v>
      </c>
      <c r="D21" s="23">
        <f t="shared" ref="D21" si="3">SUM(E21)</f>
        <v>183</v>
      </c>
      <c r="E21" s="23">
        <v>183</v>
      </c>
    </row>
    <row r="22" spans="1:8">
      <c r="A22" s="39" t="s">
        <v>27</v>
      </c>
      <c r="B22" s="38" t="s">
        <v>28</v>
      </c>
      <c r="C22" s="19">
        <f>SUM(+E22*3)</f>
        <v>331.30983606557379</v>
      </c>
      <c r="D22" s="23">
        <f t="shared" si="2"/>
        <v>110.43661202185793</v>
      </c>
      <c r="E22" s="23">
        <f>+E20/E21</f>
        <v>110.43661202185793</v>
      </c>
    </row>
    <row r="23" spans="1:8" ht="39">
      <c r="A23" s="44" t="s">
        <v>26</v>
      </c>
      <c r="B23" s="38" t="s">
        <v>2</v>
      </c>
      <c r="C23" s="19">
        <f>SUM(+E23*3)</f>
        <v>1363.5</v>
      </c>
      <c r="D23" s="23">
        <f>SUM(E23)</f>
        <v>454.5</v>
      </c>
      <c r="E23" s="19">
        <v>454.5</v>
      </c>
      <c r="F23" s="25"/>
      <c r="H23" s="29"/>
    </row>
    <row r="24" spans="1:8">
      <c r="A24" s="39" t="s">
        <v>4</v>
      </c>
      <c r="B24" s="43" t="s">
        <v>3</v>
      </c>
      <c r="C24" s="23">
        <f>+E24</f>
        <v>8.5</v>
      </c>
      <c r="D24" s="23">
        <f t="shared" ref="D24" si="4">SUM(E24)</f>
        <v>8.5</v>
      </c>
      <c r="E24" s="23">
        <v>8.5</v>
      </c>
    </row>
    <row r="25" spans="1:8">
      <c r="A25" s="39" t="s">
        <v>27</v>
      </c>
      <c r="B25" s="38" t="s">
        <v>28</v>
      </c>
      <c r="C25" s="19">
        <f>SUM(+E25*3)</f>
        <v>160.41176470588235</v>
      </c>
      <c r="D25" s="23">
        <f t="shared" si="2"/>
        <v>53.470588235294116</v>
      </c>
      <c r="E25" s="23">
        <f>+E23/E24</f>
        <v>53.470588235294116</v>
      </c>
    </row>
    <row r="26" spans="1:8">
      <c r="A26" s="42" t="s">
        <v>24</v>
      </c>
      <c r="B26" s="38" t="s">
        <v>2</v>
      </c>
      <c r="C26" s="19">
        <f>SUM(+E26*3)</f>
        <v>8472</v>
      </c>
      <c r="D26" s="23">
        <f>SUM(E26)</f>
        <v>2824</v>
      </c>
      <c r="E26" s="19">
        <v>2824</v>
      </c>
      <c r="F26" s="25"/>
      <c r="H26" s="29"/>
    </row>
    <row r="27" spans="1:8">
      <c r="A27" s="39" t="s">
        <v>4</v>
      </c>
      <c r="B27" s="43" t="s">
        <v>3</v>
      </c>
      <c r="C27" s="23">
        <f>+E27</f>
        <v>53.5</v>
      </c>
      <c r="D27" s="23">
        <f t="shared" ref="D27" si="5">SUM(E27)</f>
        <v>53.5</v>
      </c>
      <c r="E27" s="19">
        <v>53.5</v>
      </c>
    </row>
    <row r="28" spans="1:8">
      <c r="A28" s="39" t="s">
        <v>27</v>
      </c>
      <c r="B28" s="38" t="s">
        <v>28</v>
      </c>
      <c r="C28" s="19">
        <f>SUM(+E28*3)</f>
        <v>158.35514018691589</v>
      </c>
      <c r="D28" s="23">
        <f t="shared" si="2"/>
        <v>52.785046728971963</v>
      </c>
      <c r="E28" s="23">
        <f>+E26/E27</f>
        <v>52.785046728971963</v>
      </c>
    </row>
    <row r="29" spans="1:8">
      <c r="A29" s="37" t="s">
        <v>5</v>
      </c>
      <c r="B29" s="38" t="s">
        <v>2</v>
      </c>
      <c r="C29" s="19">
        <f>SUM(+E29*3)</f>
        <v>4398.6000000000004</v>
      </c>
      <c r="D29" s="19">
        <f>SUM(E29)</f>
        <v>1466.2</v>
      </c>
      <c r="E29" s="19">
        <v>1466.2</v>
      </c>
      <c r="F29" s="25"/>
      <c r="H29" s="29"/>
    </row>
    <row r="30" spans="1:8" ht="36.75">
      <c r="A30" s="45" t="s">
        <v>6</v>
      </c>
      <c r="B30" s="38" t="s">
        <v>2</v>
      </c>
      <c r="C30" s="19">
        <f>SUM(E30)</f>
        <v>2046.5</v>
      </c>
      <c r="D30" s="19">
        <f t="shared" si="2"/>
        <v>2046.5</v>
      </c>
      <c r="E30" s="19">
        <f>37.8+2008.7</f>
        <v>2046.5</v>
      </c>
    </row>
    <row r="31" spans="1:8">
      <c r="A31" s="45" t="s">
        <v>7</v>
      </c>
      <c r="B31" s="38" t="s">
        <v>2</v>
      </c>
      <c r="C31" s="19">
        <f t="shared" ref="C31:C32" si="6">SUM(+E31/9)*12</f>
        <v>0</v>
      </c>
      <c r="D31" s="19">
        <f t="shared" si="2"/>
        <v>0</v>
      </c>
      <c r="E31" s="19">
        <v>0</v>
      </c>
    </row>
    <row r="32" spans="1:8" ht="36.75">
      <c r="A32" s="45" t="s">
        <v>8</v>
      </c>
      <c r="B32" s="38" t="s">
        <v>2</v>
      </c>
      <c r="C32" s="19">
        <f t="shared" si="6"/>
        <v>0</v>
      </c>
      <c r="D32" s="17">
        <f t="shared" si="2"/>
        <v>0</v>
      </c>
      <c r="E32" s="19">
        <v>0</v>
      </c>
    </row>
    <row r="33" spans="1:8" ht="52.5">
      <c r="A33" s="45" t="s">
        <v>9</v>
      </c>
      <c r="B33" s="38" t="s">
        <v>2</v>
      </c>
      <c r="C33" s="19">
        <f>E33</f>
        <v>402.3</v>
      </c>
      <c r="D33" s="19">
        <f t="shared" si="2"/>
        <v>402.3</v>
      </c>
      <c r="E33" s="19">
        <v>402.3</v>
      </c>
    </row>
    <row r="34" spans="1:8">
      <c r="A34" s="28"/>
      <c r="B34" s="32"/>
      <c r="C34" s="28"/>
      <c r="D34" s="28"/>
      <c r="E34" s="28"/>
    </row>
    <row r="35" spans="1:8">
      <c r="F35" s="25"/>
      <c r="G35" s="27"/>
      <c r="H35" s="30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5"/>
  <sheetViews>
    <sheetView topLeftCell="A22" workbookViewId="0">
      <selection activeCell="A26" sqref="A26:XFD27"/>
    </sheetView>
  </sheetViews>
  <sheetFormatPr defaultColWidth="9.140625" defaultRowHeight="20.25"/>
  <cols>
    <col min="1" max="1" width="65.7109375" style="2" customWidth="1"/>
    <col min="2" max="2" width="10.85546875" style="3" customWidth="1"/>
    <col min="3" max="3" width="12.7109375" style="2" customWidth="1"/>
    <col min="4" max="4" width="12.5703125" style="2" customWidth="1"/>
    <col min="5" max="5" width="12" style="2" customWidth="1"/>
    <col min="6" max="6" width="17.7109375" style="2" customWidth="1"/>
    <col min="7" max="7" width="16.7109375" style="26" customWidth="1"/>
    <col min="8" max="8" width="17" style="28" customWidth="1"/>
    <col min="9" max="9" width="9.140625" style="2"/>
    <col min="10" max="10" width="16.140625" style="2" customWidth="1"/>
    <col min="11" max="11" width="16.7109375" style="2" customWidth="1"/>
    <col min="12" max="16384" width="9.140625" style="2"/>
  </cols>
  <sheetData>
    <row r="1" spans="1:8">
      <c r="A1" s="88" t="s">
        <v>15</v>
      </c>
      <c r="B1" s="88"/>
      <c r="C1" s="88"/>
      <c r="D1" s="88"/>
      <c r="E1" s="88"/>
    </row>
    <row r="2" spans="1:8">
      <c r="A2" s="88" t="s">
        <v>35</v>
      </c>
      <c r="B2" s="88"/>
      <c r="C2" s="88"/>
      <c r="D2" s="88"/>
      <c r="E2" s="88"/>
    </row>
    <row r="3" spans="1:8">
      <c r="A3" s="31"/>
      <c r="B3" s="32"/>
      <c r="C3" s="28"/>
      <c r="D3" s="28"/>
      <c r="E3" s="28"/>
    </row>
    <row r="4" spans="1:8">
      <c r="A4" s="89"/>
      <c r="B4" s="89"/>
      <c r="C4" s="89"/>
      <c r="D4" s="89"/>
      <c r="E4" s="89"/>
    </row>
    <row r="5" spans="1:8">
      <c r="A5" s="90" t="s">
        <v>17</v>
      </c>
      <c r="B5" s="90"/>
      <c r="C5" s="90"/>
      <c r="D5" s="90"/>
      <c r="E5" s="90"/>
    </row>
    <row r="6" spans="1:8">
      <c r="A6" s="33"/>
      <c r="B6" s="32"/>
      <c r="C6" s="28"/>
      <c r="D6" s="28"/>
      <c r="E6" s="28"/>
    </row>
    <row r="7" spans="1:8">
      <c r="A7" s="34" t="s">
        <v>18</v>
      </c>
      <c r="B7" s="32"/>
      <c r="C7" s="28"/>
      <c r="D7" s="28"/>
      <c r="E7" s="28"/>
    </row>
    <row r="8" spans="1:8">
      <c r="A8" s="31" t="s">
        <v>30</v>
      </c>
      <c r="B8" s="32"/>
      <c r="C8" s="28"/>
      <c r="D8" s="28"/>
      <c r="E8" s="28"/>
    </row>
    <row r="9" spans="1:8">
      <c r="A9" s="91" t="s">
        <v>29</v>
      </c>
      <c r="B9" s="92" t="s">
        <v>19</v>
      </c>
      <c r="C9" s="91" t="s">
        <v>16</v>
      </c>
      <c r="D9" s="91"/>
      <c r="E9" s="91"/>
    </row>
    <row r="10" spans="1:8" ht="40.5">
      <c r="A10" s="91"/>
      <c r="B10" s="92"/>
      <c r="C10" s="47" t="s">
        <v>20</v>
      </c>
      <c r="D10" s="47" t="s">
        <v>21</v>
      </c>
      <c r="E10" s="46" t="s">
        <v>14</v>
      </c>
      <c r="G10" s="2"/>
    </row>
    <row r="11" spans="1:8">
      <c r="A11" s="37" t="s">
        <v>22</v>
      </c>
      <c r="B11" s="38" t="s">
        <v>10</v>
      </c>
      <c r="C11" s="17">
        <v>2783</v>
      </c>
      <c r="D11" s="17">
        <v>2783</v>
      </c>
      <c r="E11" s="17">
        <v>2783</v>
      </c>
    </row>
    <row r="12" spans="1:8">
      <c r="A12" s="39" t="s">
        <v>25</v>
      </c>
      <c r="B12" s="38" t="s">
        <v>2</v>
      </c>
      <c r="C12" s="23">
        <f t="shared" ref="C12:D12" si="0">+C13/C11</f>
        <v>58.868102766798415</v>
      </c>
      <c r="D12" s="23">
        <f t="shared" si="0"/>
        <v>19.864574200503053</v>
      </c>
      <c r="E12" s="23">
        <f>+E13/E11</f>
        <v>19.864574200503053</v>
      </c>
    </row>
    <row r="13" spans="1:8">
      <c r="A13" s="37" t="s">
        <v>11</v>
      </c>
      <c r="B13" s="38" t="s">
        <v>2</v>
      </c>
      <c r="C13" s="19">
        <f t="shared" ref="C13:D13" si="1">SUM(C15+C29+C30+C31+C32+C33)</f>
        <v>163829.93</v>
      </c>
      <c r="D13" s="19">
        <f t="shared" si="1"/>
        <v>55283.11</v>
      </c>
      <c r="E13" s="19">
        <f>SUM(E15+E29+E30+E31+E32+E33)</f>
        <v>55283.11</v>
      </c>
    </row>
    <row r="14" spans="1:8">
      <c r="A14" s="40" t="s">
        <v>0</v>
      </c>
      <c r="B14" s="41"/>
      <c r="C14" s="23"/>
      <c r="D14" s="23"/>
      <c r="E14" s="23"/>
    </row>
    <row r="15" spans="1:8">
      <c r="A15" s="37" t="s">
        <v>12</v>
      </c>
      <c r="B15" s="38" t="s">
        <v>2</v>
      </c>
      <c r="C15" s="19">
        <f>SUM(C17+C20+C23+C26)</f>
        <v>146522.13</v>
      </c>
      <c r="D15" s="19">
        <f>SUM(D17+D20+D23+D26)</f>
        <v>48840.710000000006</v>
      </c>
      <c r="E15" s="19">
        <f>SUM(E17+E20+E23+E26)</f>
        <v>48840.710000000006</v>
      </c>
      <c r="H15" s="28" t="s">
        <v>36</v>
      </c>
    </row>
    <row r="16" spans="1:8">
      <c r="A16" s="40" t="s">
        <v>1</v>
      </c>
      <c r="B16" s="41"/>
      <c r="C16" s="23"/>
      <c r="D16" s="23"/>
      <c r="E16" s="23"/>
    </row>
    <row r="17" spans="1:8">
      <c r="A17" s="42" t="s">
        <v>13</v>
      </c>
      <c r="B17" s="38" t="s">
        <v>2</v>
      </c>
      <c r="C17" s="19">
        <f>SUM(+E17*3)</f>
        <v>12469.5</v>
      </c>
      <c r="D17" s="19">
        <f>SUM(E17)</f>
        <v>4156.5</v>
      </c>
      <c r="E17" s="24">
        <v>4156.5</v>
      </c>
      <c r="F17" s="25"/>
      <c r="H17" s="29"/>
    </row>
    <row r="18" spans="1:8">
      <c r="A18" s="39" t="s">
        <v>4</v>
      </c>
      <c r="B18" s="43" t="s">
        <v>3</v>
      </c>
      <c r="C18" s="23">
        <f>+E18</f>
        <v>10</v>
      </c>
      <c r="D18" s="23">
        <f t="shared" ref="D18:D33" si="2">SUM(E18)</f>
        <v>10</v>
      </c>
      <c r="E18" s="23">
        <v>10</v>
      </c>
    </row>
    <row r="19" spans="1:8">
      <c r="A19" s="39" t="s">
        <v>27</v>
      </c>
      <c r="B19" s="38" t="s">
        <v>28</v>
      </c>
      <c r="C19" s="19">
        <f>SUM(+E19*3)</f>
        <v>1246.9499999999998</v>
      </c>
      <c r="D19" s="23">
        <f t="shared" si="2"/>
        <v>415.65</v>
      </c>
      <c r="E19" s="23">
        <f>+E17/E18</f>
        <v>415.65</v>
      </c>
    </row>
    <row r="20" spans="1:8">
      <c r="A20" s="42" t="s">
        <v>23</v>
      </c>
      <c r="B20" s="38" t="s">
        <v>2</v>
      </c>
      <c r="C20" s="19">
        <f>SUM(+E20*3)</f>
        <v>118101.03</v>
      </c>
      <c r="D20" s="19">
        <f>SUM(E20)</f>
        <v>39367.01</v>
      </c>
      <c r="E20" s="19">
        <v>39367.01</v>
      </c>
      <c r="F20" s="25"/>
      <c r="H20" s="29"/>
    </row>
    <row r="21" spans="1:8">
      <c r="A21" s="39" t="s">
        <v>4</v>
      </c>
      <c r="B21" s="43" t="s">
        <v>3</v>
      </c>
      <c r="C21" s="23">
        <f>+E21</f>
        <v>183</v>
      </c>
      <c r="D21" s="23">
        <f t="shared" ref="D21" si="3">SUM(E21)</f>
        <v>183</v>
      </c>
      <c r="E21" s="23">
        <v>183</v>
      </c>
    </row>
    <row r="22" spans="1:8">
      <c r="A22" s="39" t="s">
        <v>27</v>
      </c>
      <c r="B22" s="38" t="s">
        <v>28</v>
      </c>
      <c r="C22" s="19">
        <f>SUM(+E22*3)</f>
        <v>645.36081967213113</v>
      </c>
      <c r="D22" s="23">
        <f t="shared" si="2"/>
        <v>215.12027322404373</v>
      </c>
      <c r="E22" s="23">
        <f>+E20/E21</f>
        <v>215.12027322404373</v>
      </c>
    </row>
    <row r="23" spans="1:8" ht="39">
      <c r="A23" s="44" t="s">
        <v>26</v>
      </c>
      <c r="B23" s="38" t="s">
        <v>2</v>
      </c>
      <c r="C23" s="19">
        <f>SUM(+E23*3)</f>
        <v>5920.2000000000007</v>
      </c>
      <c r="D23" s="23">
        <f>SUM(E23)</f>
        <v>1973.4</v>
      </c>
      <c r="E23" s="19">
        <v>1973.4</v>
      </c>
      <c r="F23" s="25"/>
      <c r="H23" s="29"/>
    </row>
    <row r="24" spans="1:8">
      <c r="A24" s="39" t="s">
        <v>4</v>
      </c>
      <c r="B24" s="43" t="s">
        <v>3</v>
      </c>
      <c r="C24" s="23">
        <f>+E24</f>
        <v>8.5</v>
      </c>
      <c r="D24" s="23">
        <f t="shared" ref="D24" si="4">SUM(E24)</f>
        <v>8.5</v>
      </c>
      <c r="E24" s="23">
        <v>8.5</v>
      </c>
    </row>
    <row r="25" spans="1:8">
      <c r="A25" s="39" t="s">
        <v>27</v>
      </c>
      <c r="B25" s="38" t="s">
        <v>28</v>
      </c>
      <c r="C25" s="19">
        <f>SUM(+E25*3)</f>
        <v>696.49411764705883</v>
      </c>
      <c r="D25" s="23">
        <f t="shared" si="2"/>
        <v>232.16470588235296</v>
      </c>
      <c r="E25" s="23">
        <f>+E23/E24</f>
        <v>232.16470588235296</v>
      </c>
    </row>
    <row r="26" spans="1:8">
      <c r="A26" s="42" t="s">
        <v>24</v>
      </c>
      <c r="B26" s="38" t="s">
        <v>2</v>
      </c>
      <c r="C26" s="19">
        <f>SUM(+E26*3)</f>
        <v>10031.400000000001</v>
      </c>
      <c r="D26" s="23">
        <f>SUM(E26)</f>
        <v>3343.8</v>
      </c>
      <c r="E26" s="19">
        <v>3343.8</v>
      </c>
      <c r="F26" s="25"/>
      <c r="H26" s="29"/>
    </row>
    <row r="27" spans="1:8">
      <c r="A27" s="39" t="s">
        <v>4</v>
      </c>
      <c r="B27" s="43" t="s">
        <v>3</v>
      </c>
      <c r="C27" s="19">
        <f>+E27</f>
        <v>53.5</v>
      </c>
      <c r="D27" s="19">
        <f t="shared" ref="D27" si="5">SUM(E27)</f>
        <v>53.5</v>
      </c>
      <c r="E27" s="19">
        <v>53.5</v>
      </c>
    </row>
    <row r="28" spans="1:8">
      <c r="A28" s="39" t="s">
        <v>27</v>
      </c>
      <c r="B28" s="38" t="s">
        <v>28</v>
      </c>
      <c r="C28" s="19">
        <f>SUM(+E28*3)</f>
        <v>187.50280373831777</v>
      </c>
      <c r="D28" s="19">
        <f t="shared" si="2"/>
        <v>62.500934579439253</v>
      </c>
      <c r="E28" s="19">
        <f>+E26/E27</f>
        <v>62.500934579439253</v>
      </c>
    </row>
    <row r="29" spans="1:8">
      <c r="A29" s="37" t="s">
        <v>5</v>
      </c>
      <c r="B29" s="38" t="s">
        <v>2</v>
      </c>
      <c r="C29" s="19">
        <f>SUM(+E29*3)</f>
        <v>14633.550000000001</v>
      </c>
      <c r="D29" s="19">
        <f>SUM(E29)</f>
        <v>4877.8500000000004</v>
      </c>
      <c r="E29" s="19">
        <v>4877.8500000000004</v>
      </c>
      <c r="F29" s="25"/>
      <c r="G29" s="26" t="s">
        <v>38</v>
      </c>
      <c r="H29" s="29"/>
    </row>
    <row r="30" spans="1:8" ht="36.75">
      <c r="A30" s="45" t="s">
        <v>6</v>
      </c>
      <c r="B30" s="38" t="s">
        <v>2</v>
      </c>
      <c r="C30" s="19">
        <f>SUM(E30)</f>
        <v>1009.6999999999999</v>
      </c>
      <c r="D30" s="19">
        <f t="shared" si="2"/>
        <v>1009.6999999999999</v>
      </c>
      <c r="E30" s="19">
        <f>971.9+37.8</f>
        <v>1009.6999999999999</v>
      </c>
    </row>
    <row r="31" spans="1:8">
      <c r="A31" s="45" t="s">
        <v>7</v>
      </c>
      <c r="B31" s="38" t="s">
        <v>2</v>
      </c>
      <c r="C31" s="19">
        <f>SUM(+E31*3)</f>
        <v>375.75</v>
      </c>
      <c r="D31" s="19">
        <f t="shared" si="2"/>
        <v>125.25</v>
      </c>
      <c r="E31" s="19">
        <v>125.25</v>
      </c>
    </row>
    <row r="32" spans="1:8" ht="36.75">
      <c r="A32" s="45" t="s">
        <v>8</v>
      </c>
      <c r="B32" s="38" t="s">
        <v>2</v>
      </c>
      <c r="C32" s="19">
        <f t="shared" ref="C32" si="6">SUM(+E32/9)*12</f>
        <v>0</v>
      </c>
      <c r="D32" s="17">
        <f t="shared" si="2"/>
        <v>0</v>
      </c>
      <c r="E32" s="19">
        <v>0</v>
      </c>
    </row>
    <row r="33" spans="1:8" ht="52.5">
      <c r="A33" s="45" t="s">
        <v>9</v>
      </c>
      <c r="B33" s="38" t="s">
        <v>2</v>
      </c>
      <c r="C33" s="19">
        <f>SUM(+E33*3)</f>
        <v>1288.8</v>
      </c>
      <c r="D33" s="19">
        <f t="shared" si="2"/>
        <v>429.59999999999997</v>
      </c>
      <c r="E33" s="19">
        <f>8.2+421.4</f>
        <v>429.59999999999997</v>
      </c>
    </row>
    <row r="34" spans="1:8">
      <c r="A34" s="28"/>
      <c r="B34" s="32"/>
      <c r="C34" s="28"/>
      <c r="D34" s="28"/>
      <c r="E34" s="28"/>
    </row>
    <row r="35" spans="1:8">
      <c r="F35" s="25"/>
      <c r="G35" s="27"/>
      <c r="H35" s="30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5"/>
  <sheetViews>
    <sheetView topLeftCell="A16" workbookViewId="0">
      <selection activeCell="D18" sqref="D18"/>
    </sheetView>
  </sheetViews>
  <sheetFormatPr defaultColWidth="9.140625" defaultRowHeight="20.25"/>
  <cols>
    <col min="1" max="1" width="65.7109375" style="50" customWidth="1"/>
    <col min="2" max="2" width="10.85546875" style="51" customWidth="1"/>
    <col min="3" max="3" width="12.7109375" style="50" customWidth="1"/>
    <col min="4" max="4" width="12.5703125" style="50" customWidth="1"/>
    <col min="5" max="5" width="12" style="50" customWidth="1"/>
    <col min="6" max="6" width="17.7109375" style="50" customWidth="1"/>
    <col min="7" max="7" width="16.7109375" style="50" customWidth="1"/>
    <col min="8" max="8" width="17" style="50" customWidth="1"/>
    <col min="9" max="9" width="9.140625" style="50"/>
    <col min="10" max="10" width="16.140625" style="50" customWidth="1"/>
    <col min="11" max="11" width="16.7109375" style="50" customWidth="1"/>
    <col min="12" max="16384" width="9.140625" style="50"/>
  </cols>
  <sheetData>
    <row r="1" spans="1:8">
      <c r="A1" s="88" t="s">
        <v>15</v>
      </c>
      <c r="B1" s="88"/>
      <c r="C1" s="88"/>
      <c r="D1" s="88"/>
      <c r="E1" s="88"/>
    </row>
    <row r="2" spans="1:8">
      <c r="A2" s="88" t="s">
        <v>52</v>
      </c>
      <c r="B2" s="88"/>
      <c r="C2" s="88"/>
      <c r="D2" s="88"/>
      <c r="E2" s="88"/>
    </row>
    <row r="3" spans="1:8">
      <c r="A3" s="31"/>
      <c r="B3" s="32"/>
      <c r="C3" s="28"/>
      <c r="D3" s="28"/>
      <c r="E3" s="28"/>
    </row>
    <row r="4" spans="1:8">
      <c r="A4" s="89"/>
      <c r="B4" s="89"/>
      <c r="C4" s="89"/>
      <c r="D4" s="89"/>
      <c r="E4" s="89"/>
    </row>
    <row r="5" spans="1:8">
      <c r="A5" s="90" t="s">
        <v>17</v>
      </c>
      <c r="B5" s="90"/>
      <c r="C5" s="90"/>
      <c r="D5" s="90"/>
      <c r="E5" s="90"/>
    </row>
    <row r="6" spans="1:8">
      <c r="A6" s="33"/>
      <c r="B6" s="32"/>
      <c r="C6" s="28"/>
      <c r="D6" s="28"/>
      <c r="E6" s="28"/>
    </row>
    <row r="7" spans="1:8">
      <c r="A7" s="34" t="s">
        <v>18</v>
      </c>
      <c r="B7" s="32"/>
      <c r="C7" s="28"/>
      <c r="D7" s="28"/>
      <c r="E7" s="28"/>
    </row>
    <row r="8" spans="1:8">
      <c r="A8" s="31" t="s">
        <v>30</v>
      </c>
      <c r="B8" s="32"/>
      <c r="C8" s="28"/>
      <c r="D8" s="28"/>
      <c r="E8" s="28"/>
    </row>
    <row r="9" spans="1:8">
      <c r="A9" s="91" t="s">
        <v>29</v>
      </c>
      <c r="B9" s="92" t="s">
        <v>19</v>
      </c>
      <c r="C9" s="91" t="s">
        <v>37</v>
      </c>
      <c r="D9" s="91"/>
      <c r="E9" s="91"/>
    </row>
    <row r="10" spans="1:8" ht="40.5">
      <c r="A10" s="91"/>
      <c r="B10" s="92"/>
      <c r="C10" s="49" t="s">
        <v>20</v>
      </c>
      <c r="D10" s="49" t="s">
        <v>21</v>
      </c>
      <c r="E10" s="48" t="s">
        <v>14</v>
      </c>
    </row>
    <row r="11" spans="1:8">
      <c r="A11" s="37" t="s">
        <v>22</v>
      </c>
      <c r="B11" s="38" t="s">
        <v>10</v>
      </c>
      <c r="C11" s="17">
        <v>3049</v>
      </c>
      <c r="D11" s="17">
        <v>3049</v>
      </c>
      <c r="E11" s="17">
        <v>3049</v>
      </c>
    </row>
    <row r="12" spans="1:8">
      <c r="A12" s="39" t="s">
        <v>25</v>
      </c>
      <c r="B12" s="38" t="s">
        <v>2</v>
      </c>
      <c r="C12" s="19">
        <f t="shared" ref="C12:D12" si="0">+C13/C11</f>
        <v>34.843204329288291</v>
      </c>
      <c r="D12" s="19">
        <f t="shared" si="0"/>
        <v>11.614401443096099</v>
      </c>
      <c r="E12" s="19">
        <f>+E13/E11</f>
        <v>11.614401443096099</v>
      </c>
    </row>
    <row r="13" spans="1:8">
      <c r="A13" s="37" t="s">
        <v>11</v>
      </c>
      <c r="B13" s="38" t="s">
        <v>2</v>
      </c>
      <c r="C13" s="19">
        <f t="shared" ref="C13" si="1">SUM(C15+C29+C30+C31+C32+C33)</f>
        <v>106236.93000000001</v>
      </c>
      <c r="D13" s="19">
        <f>SUM(D15+D29+D30+D31+D32+D33)</f>
        <v>35412.310000000005</v>
      </c>
      <c r="E13" s="19">
        <f>SUM(E15+E29+E30+E31+E32+E33)</f>
        <v>35412.310000000005</v>
      </c>
    </row>
    <row r="14" spans="1:8">
      <c r="A14" s="40" t="s">
        <v>0</v>
      </c>
      <c r="B14" s="41"/>
      <c r="C14" s="23"/>
      <c r="D14" s="23"/>
      <c r="E14" s="23"/>
    </row>
    <row r="15" spans="1:8">
      <c r="A15" s="37" t="s">
        <v>12</v>
      </c>
      <c r="B15" s="38" t="s">
        <v>2</v>
      </c>
      <c r="C15" s="19">
        <f>SUM(C17+C20+C23+C26)</f>
        <v>94231.02</v>
      </c>
      <c r="D15" s="19">
        <f>SUM(D17+D20+D23+D26)</f>
        <v>31410.34</v>
      </c>
      <c r="E15" s="19">
        <f>SUM(E17+E20+E23+E26)</f>
        <v>31410.34</v>
      </c>
      <c r="H15" s="50" t="s">
        <v>36</v>
      </c>
    </row>
    <row r="16" spans="1:8">
      <c r="A16" s="40" t="s">
        <v>1</v>
      </c>
      <c r="B16" s="41"/>
      <c r="C16" s="23"/>
      <c r="D16" s="23"/>
      <c r="E16" s="23"/>
    </row>
    <row r="17" spans="1:8" s="26" customFormat="1">
      <c r="A17" s="42" t="s">
        <v>13</v>
      </c>
      <c r="B17" s="38" t="s">
        <v>2</v>
      </c>
      <c r="C17" s="19">
        <f>SUM(+E17*3)</f>
        <v>3484.5</v>
      </c>
      <c r="D17" s="19">
        <f>SUM(E17)</f>
        <v>1161.5</v>
      </c>
      <c r="E17" s="24">
        <v>1161.5</v>
      </c>
      <c r="F17" s="27"/>
      <c r="H17" s="53"/>
    </row>
    <row r="18" spans="1:8">
      <c r="A18" s="39" t="s">
        <v>4</v>
      </c>
      <c r="B18" s="43" t="s">
        <v>3</v>
      </c>
      <c r="C18" s="19">
        <f>+E18</f>
        <v>9.5</v>
      </c>
      <c r="D18" s="19">
        <f>SUM(E18)</f>
        <v>9.5</v>
      </c>
      <c r="E18" s="19">
        <v>9.5</v>
      </c>
    </row>
    <row r="19" spans="1:8">
      <c r="A19" s="39" t="s">
        <v>27</v>
      </c>
      <c r="B19" s="38" t="s">
        <v>28</v>
      </c>
      <c r="C19" s="19">
        <f>SUM(+E19*3)</f>
        <v>366.78947368421052</v>
      </c>
      <c r="D19" s="23">
        <f t="shared" ref="D19:D33" si="2">SUM(E19)</f>
        <v>122.26315789473684</v>
      </c>
      <c r="E19" s="23">
        <f>+E17/E18</f>
        <v>122.26315789473684</v>
      </c>
    </row>
    <row r="20" spans="1:8" s="26" customFormat="1">
      <c r="A20" s="42" t="s">
        <v>23</v>
      </c>
      <c r="B20" s="38" t="s">
        <v>2</v>
      </c>
      <c r="C20" s="19">
        <f>SUM(+E20*3)</f>
        <v>79558.92</v>
      </c>
      <c r="D20" s="19">
        <f>SUM(E20)</f>
        <v>26519.64</v>
      </c>
      <c r="E20" s="19">
        <v>26519.64</v>
      </c>
      <c r="F20" s="27"/>
      <c r="H20" s="53"/>
    </row>
    <row r="21" spans="1:8">
      <c r="A21" s="39" t="s">
        <v>4</v>
      </c>
      <c r="B21" s="43" t="s">
        <v>3</v>
      </c>
      <c r="C21" s="23">
        <f>+E21</f>
        <v>211</v>
      </c>
      <c r="D21" s="23">
        <f t="shared" ref="D21" si="3">SUM(E21)</f>
        <v>211</v>
      </c>
      <c r="E21" s="23">
        <v>211</v>
      </c>
    </row>
    <row r="22" spans="1:8">
      <c r="A22" s="39" t="s">
        <v>27</v>
      </c>
      <c r="B22" s="38" t="s">
        <v>28</v>
      </c>
      <c r="C22" s="19">
        <f>SUM(+E22*3)</f>
        <v>377.05649289099529</v>
      </c>
      <c r="D22" s="23">
        <f t="shared" si="2"/>
        <v>125.68549763033175</v>
      </c>
      <c r="E22" s="23">
        <f>+E20/E21</f>
        <v>125.68549763033175</v>
      </c>
    </row>
    <row r="23" spans="1:8" s="26" customFormat="1" ht="39">
      <c r="A23" s="44" t="s">
        <v>26</v>
      </c>
      <c r="B23" s="38" t="s">
        <v>2</v>
      </c>
      <c r="C23" s="19">
        <f>SUM(+E23*3)</f>
        <v>2207.1000000000004</v>
      </c>
      <c r="D23" s="23">
        <f>SUM(E23)</f>
        <v>735.7</v>
      </c>
      <c r="E23" s="19">
        <v>735.7</v>
      </c>
      <c r="F23" s="27"/>
      <c r="H23" s="53"/>
    </row>
    <row r="24" spans="1:8">
      <c r="A24" s="39" t="s">
        <v>4</v>
      </c>
      <c r="B24" s="43" t="s">
        <v>3</v>
      </c>
      <c r="C24" s="23">
        <f>+E24</f>
        <v>9</v>
      </c>
      <c r="D24" s="23">
        <f t="shared" ref="D24" si="4">SUM(E24)</f>
        <v>9</v>
      </c>
      <c r="E24" s="23">
        <v>9</v>
      </c>
    </row>
    <row r="25" spans="1:8">
      <c r="A25" s="39" t="s">
        <v>27</v>
      </c>
      <c r="B25" s="38" t="s">
        <v>28</v>
      </c>
      <c r="C25" s="19">
        <f>SUM(+E25*3)</f>
        <v>245.23333333333335</v>
      </c>
      <c r="D25" s="23">
        <f t="shared" si="2"/>
        <v>81.744444444444454</v>
      </c>
      <c r="E25" s="23">
        <f>+E23/E24</f>
        <v>81.744444444444454</v>
      </c>
    </row>
    <row r="26" spans="1:8" s="26" customFormat="1">
      <c r="A26" s="42" t="s">
        <v>24</v>
      </c>
      <c r="B26" s="38" t="s">
        <v>2</v>
      </c>
      <c r="C26" s="19">
        <f>SUM(+E26*3)</f>
        <v>8980.5</v>
      </c>
      <c r="D26" s="23">
        <f>SUM(E26)</f>
        <v>2993.5</v>
      </c>
      <c r="E26" s="19">
        <v>2993.5</v>
      </c>
      <c r="F26" s="27"/>
      <c r="H26" s="53"/>
    </row>
    <row r="27" spans="1:8">
      <c r="A27" s="39" t="s">
        <v>4</v>
      </c>
      <c r="B27" s="43" t="s">
        <v>3</v>
      </c>
      <c r="C27" s="19">
        <f>+E27</f>
        <v>53</v>
      </c>
      <c r="D27" s="19">
        <f t="shared" ref="D27" si="5">SUM(E27)</f>
        <v>53</v>
      </c>
      <c r="E27" s="19">
        <v>53</v>
      </c>
    </row>
    <row r="28" spans="1:8">
      <c r="A28" s="39" t="s">
        <v>27</v>
      </c>
      <c r="B28" s="38" t="s">
        <v>28</v>
      </c>
      <c r="C28" s="19">
        <f t="shared" ref="C28:C33" si="6">SUM(+E28*3)</f>
        <v>169.4433962264151</v>
      </c>
      <c r="D28" s="19">
        <f t="shared" si="2"/>
        <v>56.481132075471699</v>
      </c>
      <c r="E28" s="19">
        <f>+E26/E27</f>
        <v>56.481132075471699</v>
      </c>
    </row>
    <row r="29" spans="1:8" s="26" customFormat="1">
      <c r="A29" s="37" t="s">
        <v>5</v>
      </c>
      <c r="B29" s="38" t="s">
        <v>2</v>
      </c>
      <c r="C29" s="19">
        <f t="shared" si="6"/>
        <v>10450.650000000001</v>
      </c>
      <c r="D29" s="19">
        <f>SUM(E29)</f>
        <v>3483.55</v>
      </c>
      <c r="E29" s="19">
        <f>1830.9+1652.65</f>
        <v>3483.55</v>
      </c>
      <c r="F29" s="27"/>
      <c r="G29" s="26" t="s">
        <v>38</v>
      </c>
      <c r="H29" s="53"/>
    </row>
    <row r="30" spans="1:8" s="26" customFormat="1" ht="36.75">
      <c r="A30" s="45" t="s">
        <v>6</v>
      </c>
      <c r="B30" s="38" t="s">
        <v>2</v>
      </c>
      <c r="C30" s="19">
        <f t="shared" si="6"/>
        <v>678.36</v>
      </c>
      <c r="D30" s="19">
        <f t="shared" si="2"/>
        <v>226.12</v>
      </c>
      <c r="E30" s="19">
        <f>124.72+19+82.4</f>
        <v>226.12</v>
      </c>
    </row>
    <row r="31" spans="1:8" s="26" customFormat="1">
      <c r="A31" s="45" t="s">
        <v>7</v>
      </c>
      <c r="B31" s="38" t="s">
        <v>2</v>
      </c>
      <c r="C31" s="19">
        <f t="shared" si="6"/>
        <v>502.79999999999995</v>
      </c>
      <c r="D31" s="19">
        <f t="shared" si="2"/>
        <v>167.6</v>
      </c>
      <c r="E31" s="19">
        <v>167.6</v>
      </c>
    </row>
    <row r="32" spans="1:8" s="26" customFormat="1" ht="36.75">
      <c r="A32" s="45" t="s">
        <v>8</v>
      </c>
      <c r="B32" s="38" t="s">
        <v>2</v>
      </c>
      <c r="C32" s="19">
        <f t="shared" si="6"/>
        <v>19.200000000000003</v>
      </c>
      <c r="D32" s="17">
        <f t="shared" si="2"/>
        <v>6.4</v>
      </c>
      <c r="E32" s="19">
        <f>6.4</f>
        <v>6.4</v>
      </c>
    </row>
    <row r="33" spans="1:10" s="26" customFormat="1" ht="52.5">
      <c r="A33" s="45" t="s">
        <v>9</v>
      </c>
      <c r="B33" s="38" t="s">
        <v>2</v>
      </c>
      <c r="C33" s="19">
        <f t="shared" si="6"/>
        <v>354.9</v>
      </c>
      <c r="D33" s="19">
        <f t="shared" si="2"/>
        <v>118.3</v>
      </c>
      <c r="E33" s="19">
        <v>118.3</v>
      </c>
    </row>
    <row r="35" spans="1:10">
      <c r="F35" s="52"/>
      <c r="G35" s="52">
        <v>1271715</v>
      </c>
      <c r="H35" s="52">
        <v>40059</v>
      </c>
      <c r="J35" s="54">
        <f>+((G35-(G35*10%))*9.5%)-H35</f>
        <v>68672.632500000007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51"/>
  <sheetViews>
    <sheetView workbookViewId="0">
      <selection activeCell="A4" sqref="A4:E4"/>
    </sheetView>
  </sheetViews>
  <sheetFormatPr defaultColWidth="9.140625" defaultRowHeight="20.25"/>
  <cols>
    <col min="1" max="1" width="65.7109375" style="50" customWidth="1"/>
    <col min="2" max="2" width="10.85546875" style="51" customWidth="1"/>
    <col min="3" max="3" width="12.7109375" style="50" customWidth="1"/>
    <col min="4" max="4" width="12.5703125" style="50" customWidth="1"/>
    <col min="5" max="5" width="12" style="50" customWidth="1"/>
    <col min="6" max="6" width="17.7109375" style="50" customWidth="1"/>
    <col min="7" max="7" width="16.7109375" style="50" customWidth="1"/>
    <col min="8" max="8" width="17" style="50" customWidth="1"/>
    <col min="9" max="9" width="9.140625" style="50"/>
    <col min="10" max="10" width="16.140625" style="50" customWidth="1"/>
    <col min="11" max="11" width="16.7109375" style="50" customWidth="1"/>
    <col min="12" max="16384" width="9.140625" style="50"/>
  </cols>
  <sheetData>
    <row r="1" spans="1:5">
      <c r="A1" s="93" t="s">
        <v>15</v>
      </c>
      <c r="B1" s="93"/>
      <c r="C1" s="93"/>
      <c r="D1" s="93"/>
      <c r="E1" s="93"/>
    </row>
    <row r="2" spans="1:5">
      <c r="A2" s="93" t="s">
        <v>53</v>
      </c>
      <c r="B2" s="93"/>
      <c r="C2" s="93"/>
      <c r="D2" s="93"/>
      <c r="E2" s="93"/>
    </row>
    <row r="3" spans="1:5">
      <c r="A3" s="55"/>
    </row>
    <row r="4" spans="1:5">
      <c r="A4" s="94"/>
      <c r="B4" s="94"/>
      <c r="C4" s="94"/>
      <c r="D4" s="94"/>
      <c r="E4" s="94"/>
    </row>
    <row r="5" spans="1:5">
      <c r="A5" s="95" t="s">
        <v>17</v>
      </c>
      <c r="B5" s="95"/>
      <c r="C5" s="95"/>
      <c r="D5" s="95"/>
      <c r="E5" s="95"/>
    </row>
    <row r="6" spans="1:5">
      <c r="A6" s="56"/>
    </row>
    <row r="7" spans="1:5">
      <c r="A7" s="57" t="s">
        <v>18</v>
      </c>
    </row>
    <row r="8" spans="1:5">
      <c r="A8" s="55" t="s">
        <v>30</v>
      </c>
    </row>
    <row r="9" spans="1:5">
      <c r="A9" s="96" t="s">
        <v>29</v>
      </c>
      <c r="B9" s="97" t="s">
        <v>19</v>
      </c>
      <c r="C9" s="96" t="s">
        <v>37</v>
      </c>
      <c r="D9" s="96"/>
      <c r="E9" s="96"/>
    </row>
    <row r="10" spans="1:5" ht="40.5">
      <c r="A10" s="96"/>
      <c r="B10" s="97"/>
      <c r="C10" s="58" t="s">
        <v>20</v>
      </c>
      <c r="D10" s="58" t="s">
        <v>21</v>
      </c>
      <c r="E10" s="59" t="s">
        <v>14</v>
      </c>
    </row>
    <row r="11" spans="1:5">
      <c r="A11" s="60" t="s">
        <v>22</v>
      </c>
      <c r="B11" s="61" t="s">
        <v>10</v>
      </c>
      <c r="C11" s="62">
        <v>3049</v>
      </c>
      <c r="D11" s="62">
        <v>3049</v>
      </c>
      <c r="E11" s="62">
        <v>3049</v>
      </c>
    </row>
    <row r="12" spans="1:5">
      <c r="A12" s="63" t="s">
        <v>25</v>
      </c>
      <c r="B12" s="61" t="s">
        <v>2</v>
      </c>
      <c r="C12" s="21">
        <f t="shared" ref="C12:D12" si="0">+C13/C11</f>
        <v>242.04362085929813</v>
      </c>
      <c r="D12" s="21">
        <f t="shared" si="0"/>
        <v>60.510905214824533</v>
      </c>
      <c r="E12" s="21">
        <f>+E13/E11</f>
        <v>20.170301738274848</v>
      </c>
    </row>
    <row r="13" spans="1:5">
      <c r="A13" s="60" t="s">
        <v>11</v>
      </c>
      <c r="B13" s="61" t="s">
        <v>2</v>
      </c>
      <c r="C13" s="64">
        <f t="shared" ref="C13" si="1">SUM(C15+C29+C30+C31+C32+C33)</f>
        <v>737991</v>
      </c>
      <c r="D13" s="64">
        <f>SUM(D15+D29+D30+D31+D32+D33)</f>
        <v>184497.75</v>
      </c>
      <c r="E13" s="64">
        <f>SUM(E15+E29+E30+E31+E32+E33)</f>
        <v>61499.250000000007</v>
      </c>
    </row>
    <row r="14" spans="1:5">
      <c r="A14" s="65" t="s">
        <v>0</v>
      </c>
      <c r="B14" s="66"/>
      <c r="C14" s="21"/>
      <c r="D14" s="21"/>
      <c r="E14" s="21"/>
    </row>
    <row r="15" spans="1:5">
      <c r="A15" s="60" t="s">
        <v>12</v>
      </c>
      <c r="B15" s="61" t="s">
        <v>2</v>
      </c>
      <c r="C15" s="64">
        <f>SUM(C17+C20+C23+C26)</f>
        <v>620694.6</v>
      </c>
      <c r="D15" s="64">
        <f>SUM(D17+D20+D23+D26)</f>
        <v>155173.65</v>
      </c>
      <c r="E15" s="64">
        <f>SUM(E17+E20+E23+E26)</f>
        <v>51724.55</v>
      </c>
    </row>
    <row r="16" spans="1:5">
      <c r="A16" s="65" t="s">
        <v>1</v>
      </c>
      <c r="B16" s="66"/>
      <c r="C16" s="21"/>
      <c r="D16" s="21"/>
      <c r="E16" s="21"/>
    </row>
    <row r="17" spans="1:8">
      <c r="A17" s="67" t="s">
        <v>54</v>
      </c>
      <c r="B17" s="61" t="s">
        <v>2</v>
      </c>
      <c r="C17" s="75">
        <f>SUM(+E17*12)</f>
        <v>15549.599999999999</v>
      </c>
      <c r="D17" s="75">
        <f>SUM(E17*3)</f>
        <v>3887.3999999999996</v>
      </c>
      <c r="E17" s="76">
        <v>1295.8</v>
      </c>
      <c r="F17" s="52"/>
      <c r="H17" s="68"/>
    </row>
    <row r="18" spans="1:8">
      <c r="A18" s="63" t="s">
        <v>4</v>
      </c>
      <c r="B18" s="69" t="s">
        <v>3</v>
      </c>
      <c r="C18" s="64">
        <f>+E18</f>
        <v>9.5</v>
      </c>
      <c r="D18" s="64">
        <f t="shared" ref="D18:D31" si="2">SUM(E18)</f>
        <v>9.5</v>
      </c>
      <c r="E18" s="64">
        <v>9.5</v>
      </c>
    </row>
    <row r="19" spans="1:8">
      <c r="A19" s="63" t="s">
        <v>27</v>
      </c>
      <c r="B19" s="61" t="s">
        <v>28</v>
      </c>
      <c r="C19" s="64">
        <f>SUM(+E19*12)</f>
        <v>1636.8000000000002</v>
      </c>
      <c r="D19" s="64">
        <f>SUM(E19*3)</f>
        <v>409.20000000000005</v>
      </c>
      <c r="E19" s="64">
        <f>+E17/E18</f>
        <v>136.4</v>
      </c>
    </row>
    <row r="20" spans="1:8">
      <c r="A20" s="67" t="s">
        <v>23</v>
      </c>
      <c r="B20" s="61" t="s">
        <v>2</v>
      </c>
      <c r="C20" s="75">
        <f>SUM(+E20*12)</f>
        <v>556245</v>
      </c>
      <c r="D20" s="75">
        <f>SUM(E20*3)</f>
        <v>139061.25</v>
      </c>
      <c r="E20" s="75">
        <v>46353.75</v>
      </c>
      <c r="F20" s="52"/>
      <c r="H20" s="68"/>
    </row>
    <row r="21" spans="1:8">
      <c r="A21" s="63" t="s">
        <v>4</v>
      </c>
      <c r="B21" s="69" t="s">
        <v>3</v>
      </c>
      <c r="C21" s="64">
        <f>+E21</f>
        <v>207.5</v>
      </c>
      <c r="D21" s="64">
        <f t="shared" ref="D21" si="3">SUM(E21)</f>
        <v>207.5</v>
      </c>
      <c r="E21" s="64">
        <v>207.5</v>
      </c>
    </row>
    <row r="22" spans="1:8">
      <c r="A22" s="63" t="s">
        <v>27</v>
      </c>
      <c r="B22" s="61" t="s">
        <v>28</v>
      </c>
      <c r="C22" s="78">
        <f>SUM(+E22*12)</f>
        <v>2680.6987951807232</v>
      </c>
      <c r="D22" s="78">
        <f>SUM(E22*3)</f>
        <v>670.1746987951808</v>
      </c>
      <c r="E22" s="78">
        <f>+E20/E21</f>
        <v>223.39156626506025</v>
      </c>
    </row>
    <row r="23" spans="1:8" ht="39">
      <c r="A23" s="70" t="s">
        <v>26</v>
      </c>
      <c r="B23" s="61" t="s">
        <v>2</v>
      </c>
      <c r="C23" s="75">
        <f>SUM(+E23*12)</f>
        <v>9589.2000000000007</v>
      </c>
      <c r="D23" s="75">
        <f>SUM(E23*3)</f>
        <v>2397.3000000000002</v>
      </c>
      <c r="E23" s="75">
        <v>799.1</v>
      </c>
      <c r="F23" s="52"/>
      <c r="H23" s="68"/>
    </row>
    <row r="24" spans="1:8">
      <c r="A24" s="63" t="s">
        <v>4</v>
      </c>
      <c r="B24" s="69" t="s">
        <v>3</v>
      </c>
      <c r="C24" s="21">
        <f>+E24</f>
        <v>9</v>
      </c>
      <c r="D24" s="21">
        <f t="shared" ref="D24" si="4">SUM(E24)</f>
        <v>9</v>
      </c>
      <c r="E24" s="21">
        <v>9</v>
      </c>
    </row>
    <row r="25" spans="1:8">
      <c r="A25" s="63" t="s">
        <v>27</v>
      </c>
      <c r="B25" s="61" t="s">
        <v>28</v>
      </c>
      <c r="C25" s="64">
        <f>SUM(+E25*12)</f>
        <v>1065.4666666666667</v>
      </c>
      <c r="D25" s="64">
        <f>SUM(E25*3)</f>
        <v>266.36666666666667</v>
      </c>
      <c r="E25" s="64">
        <f>+E23/E24</f>
        <v>88.788888888888891</v>
      </c>
    </row>
    <row r="26" spans="1:8">
      <c r="A26" s="67" t="s">
        <v>24</v>
      </c>
      <c r="B26" s="61" t="s">
        <v>2</v>
      </c>
      <c r="C26" s="75">
        <f>SUM(+E26*12)</f>
        <v>39310.800000000003</v>
      </c>
      <c r="D26" s="75">
        <f>SUM(E26*3)</f>
        <v>9827.7000000000007</v>
      </c>
      <c r="E26" s="75">
        <v>3275.9</v>
      </c>
      <c r="F26" s="52"/>
      <c r="H26" s="68"/>
    </row>
    <row r="27" spans="1:8">
      <c r="A27" s="63" t="s">
        <v>4</v>
      </c>
      <c r="B27" s="69" t="s">
        <v>3</v>
      </c>
      <c r="C27" s="64">
        <f>+E27</f>
        <v>44</v>
      </c>
      <c r="D27" s="64">
        <f t="shared" ref="D27" si="5">SUM(E27)</f>
        <v>44</v>
      </c>
      <c r="E27" s="64">
        <v>44</v>
      </c>
    </row>
    <row r="28" spans="1:8">
      <c r="A28" s="63" t="s">
        <v>27</v>
      </c>
      <c r="B28" s="61" t="s">
        <v>28</v>
      </c>
      <c r="C28" s="64">
        <f>SUM(+E28*12)</f>
        <v>893.42727272727279</v>
      </c>
      <c r="D28" s="64">
        <f>SUM(E28*3)</f>
        <v>223.3568181818182</v>
      </c>
      <c r="E28" s="64">
        <f>+E26/E27</f>
        <v>74.452272727272728</v>
      </c>
    </row>
    <row r="29" spans="1:8">
      <c r="A29" s="60" t="s">
        <v>5</v>
      </c>
      <c r="B29" s="61" t="s">
        <v>2</v>
      </c>
      <c r="C29" s="75">
        <f>SUM(+E29*12)</f>
        <v>84892.799999999988</v>
      </c>
      <c r="D29" s="75">
        <f>SUM(E29*3)</f>
        <v>21223.199999999997</v>
      </c>
      <c r="E29" s="75">
        <v>7074.4</v>
      </c>
      <c r="F29" s="52"/>
      <c r="H29" s="68"/>
    </row>
    <row r="30" spans="1:8" ht="36.75">
      <c r="A30" s="71" t="s">
        <v>6</v>
      </c>
      <c r="B30" s="61" t="s">
        <v>2</v>
      </c>
      <c r="C30" s="75">
        <f>SUM(+E30*12)</f>
        <v>25840.800000000003</v>
      </c>
      <c r="D30" s="75">
        <f>SUM(E30*3)</f>
        <v>6460.2000000000007</v>
      </c>
      <c r="E30" s="75">
        <f>581.1+94.2+19+1459.1</f>
        <v>2153.4</v>
      </c>
    </row>
    <row r="31" spans="1:8">
      <c r="A31" s="71" t="s">
        <v>7</v>
      </c>
      <c r="B31" s="61" t="s">
        <v>2</v>
      </c>
      <c r="C31" s="75">
        <f t="shared" ref="C31" si="6">SUM(+E31*3)</f>
        <v>0</v>
      </c>
      <c r="D31" s="75">
        <f t="shared" si="2"/>
        <v>0</v>
      </c>
      <c r="E31" s="75"/>
    </row>
    <row r="32" spans="1:8" ht="36.75">
      <c r="A32" s="71" t="s">
        <v>8</v>
      </c>
      <c r="B32" s="61" t="s">
        <v>2</v>
      </c>
      <c r="C32" s="75">
        <f>SUM(+E32*12)</f>
        <v>6366</v>
      </c>
      <c r="D32" s="77">
        <f>SUM(E32*3)</f>
        <v>1591.5</v>
      </c>
      <c r="E32" s="75">
        <v>530.5</v>
      </c>
    </row>
    <row r="33" spans="1:10" ht="52.5">
      <c r="A33" s="71" t="s">
        <v>9</v>
      </c>
      <c r="B33" s="61" t="s">
        <v>2</v>
      </c>
      <c r="C33" s="75">
        <f>SUM(+E33*12)</f>
        <v>196.79999999999998</v>
      </c>
      <c r="D33" s="75">
        <f>SUM(E33*3)</f>
        <v>49.199999999999996</v>
      </c>
      <c r="E33" s="75">
        <v>16.399999999999999</v>
      </c>
    </row>
    <row r="35" spans="1:10">
      <c r="F35" s="52"/>
      <c r="G35" s="52"/>
      <c r="H35" s="52"/>
      <c r="J35" s="72"/>
    </row>
    <row r="40" spans="1:10">
      <c r="B40" s="50"/>
    </row>
    <row r="41" spans="1:10">
      <c r="B41" s="50"/>
    </row>
    <row r="42" spans="1:10">
      <c r="B42" s="50"/>
    </row>
    <row r="43" spans="1:10">
      <c r="B43" s="50"/>
    </row>
    <row r="44" spans="1:10">
      <c r="B44" s="50"/>
    </row>
    <row r="45" spans="1:10">
      <c r="B45" s="50"/>
    </row>
    <row r="46" spans="1:10">
      <c r="B46" s="50"/>
    </row>
    <row r="47" spans="1:10">
      <c r="B47" s="50"/>
    </row>
    <row r="48" spans="1:10">
      <c r="B48" s="50"/>
    </row>
    <row r="49" spans="2:2">
      <c r="B49" s="50"/>
    </row>
    <row r="50" spans="2:2">
      <c r="B50" s="50"/>
    </row>
    <row r="51" spans="2:2">
      <c r="B51" s="50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J12" sqref="J12"/>
    </sheetView>
  </sheetViews>
  <sheetFormatPr defaultRowHeight="15"/>
  <sheetData>
    <row r="1" spans="1:7" ht="20.25">
      <c r="A1" s="51"/>
      <c r="B1" s="73" t="s">
        <v>40</v>
      </c>
      <c r="C1" s="74"/>
      <c r="D1" s="74"/>
      <c r="E1" s="74"/>
      <c r="F1" s="74"/>
      <c r="G1" s="50"/>
    </row>
    <row r="2" spans="1:7" ht="20.25">
      <c r="A2" s="51"/>
      <c r="B2" s="74"/>
      <c r="C2" s="74"/>
      <c r="D2" s="74"/>
      <c r="E2" s="74"/>
      <c r="F2" s="74"/>
      <c r="G2" s="50"/>
    </row>
    <row r="3" spans="1:7" ht="20.25">
      <c r="A3" s="51"/>
      <c r="B3" s="74"/>
      <c r="C3" s="74"/>
      <c r="D3" s="74"/>
      <c r="E3" s="74"/>
      <c r="F3" s="74"/>
      <c r="G3" s="50"/>
    </row>
    <row r="4" spans="1:7" ht="20.25">
      <c r="A4" s="51"/>
      <c r="B4" s="74"/>
      <c r="C4" s="74"/>
      <c r="D4" s="74" t="s">
        <v>42</v>
      </c>
      <c r="E4" s="74" t="s">
        <v>43</v>
      </c>
      <c r="F4" s="74" t="s">
        <v>44</v>
      </c>
      <c r="G4" s="50"/>
    </row>
    <row r="5" spans="1:7" ht="20.25">
      <c r="A5" s="51"/>
      <c r="B5" s="74" t="s">
        <v>39</v>
      </c>
      <c r="C5" s="74" t="s">
        <v>41</v>
      </c>
      <c r="D5" s="74">
        <v>1271715</v>
      </c>
      <c r="E5" s="74">
        <v>1030090</v>
      </c>
      <c r="F5" s="74">
        <v>68673</v>
      </c>
      <c r="G5" s="50"/>
    </row>
    <row r="6" spans="1:7" ht="20.25">
      <c r="A6" s="51"/>
      <c r="B6" s="74"/>
      <c r="C6" s="74"/>
      <c r="D6" s="74"/>
      <c r="E6" s="74"/>
      <c r="F6" s="74"/>
      <c r="G6" s="50"/>
    </row>
    <row r="7" spans="1:7" ht="20.25">
      <c r="A7" s="51"/>
      <c r="B7" s="74" t="s">
        <v>45</v>
      </c>
      <c r="C7" s="74" t="s">
        <v>46</v>
      </c>
      <c r="D7" s="74">
        <v>621874</v>
      </c>
      <c r="E7" s="74">
        <v>51719</v>
      </c>
      <c r="F7" s="74">
        <v>33581</v>
      </c>
      <c r="G7" s="50"/>
    </row>
    <row r="8" spans="1:7" ht="20.25">
      <c r="A8" s="51"/>
      <c r="B8" s="74" t="s">
        <v>47</v>
      </c>
      <c r="C8" s="74" t="s">
        <v>48</v>
      </c>
      <c r="D8" s="74">
        <v>177270</v>
      </c>
      <c r="E8" s="74">
        <v>11704</v>
      </c>
      <c r="F8" s="74">
        <v>9573</v>
      </c>
      <c r="G8" s="50"/>
    </row>
    <row r="9" spans="1:7" ht="20.25">
      <c r="A9" s="51"/>
      <c r="B9" s="74"/>
      <c r="C9" s="74"/>
      <c r="D9" s="74"/>
      <c r="E9" s="74"/>
      <c r="F9" s="74"/>
      <c r="G9" s="50"/>
    </row>
    <row r="10" spans="1:7" ht="20.25">
      <c r="A10" s="51"/>
      <c r="B10" s="74" t="s">
        <v>49</v>
      </c>
      <c r="C10" s="74" t="s">
        <v>50</v>
      </c>
      <c r="D10" s="74">
        <v>3284928</v>
      </c>
      <c r="E10" s="74">
        <v>291393</v>
      </c>
      <c r="F10" s="74">
        <v>177386</v>
      </c>
      <c r="G10" s="50"/>
    </row>
    <row r="11" spans="1:7" ht="20.25">
      <c r="A11" s="51"/>
      <c r="B11" s="74"/>
      <c r="C11" s="74"/>
      <c r="D11" s="74"/>
      <c r="E11" s="74"/>
      <c r="F11" s="74"/>
      <c r="G11" s="50"/>
    </row>
    <row r="12" spans="1:7" ht="20.25">
      <c r="A12" s="51"/>
      <c r="B12" s="74" t="s">
        <v>51</v>
      </c>
      <c r="C12" s="74">
        <v>211</v>
      </c>
      <c r="D12" s="74">
        <v>47809042</v>
      </c>
      <c r="E12" s="74">
        <v>4298563</v>
      </c>
      <c r="F12" s="74">
        <v>2581688</v>
      </c>
      <c r="G12" s="50"/>
    </row>
    <row r="13" spans="1:7" ht="20.25">
      <c r="A13" s="51"/>
      <c r="B13" s="50"/>
      <c r="C13" s="50"/>
      <c r="D13" s="50"/>
      <c r="E13" s="50"/>
      <c r="F13" s="50"/>
      <c r="G13" s="50"/>
    </row>
    <row r="14" spans="1:7" ht="20.25">
      <c r="A14" s="51"/>
      <c r="B14" s="50"/>
      <c r="C14" s="50"/>
      <c r="D14" s="50"/>
      <c r="E14" s="50"/>
      <c r="F14" s="50"/>
      <c r="G14" s="5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51"/>
  <sheetViews>
    <sheetView topLeftCell="A20" workbookViewId="0">
      <selection activeCell="C33" sqref="C33"/>
    </sheetView>
  </sheetViews>
  <sheetFormatPr defaultColWidth="9.140625" defaultRowHeight="20.25"/>
  <cols>
    <col min="1" max="1" width="65.7109375" style="50" customWidth="1"/>
    <col min="2" max="2" width="10.85546875" style="51" customWidth="1"/>
    <col min="3" max="3" width="12.7109375" style="50" customWidth="1"/>
    <col min="4" max="4" width="12.5703125" style="50" customWidth="1"/>
    <col min="5" max="5" width="12" style="50" customWidth="1"/>
    <col min="6" max="6" width="17.7109375" style="50" customWidth="1"/>
    <col min="7" max="7" width="16.7109375" style="50" customWidth="1"/>
    <col min="8" max="8" width="17" style="50" customWidth="1"/>
    <col min="9" max="9" width="9.140625" style="50"/>
    <col min="10" max="10" width="16.140625" style="50" customWidth="1"/>
    <col min="11" max="11" width="16.7109375" style="50" customWidth="1"/>
    <col min="12" max="16384" width="9.140625" style="50"/>
  </cols>
  <sheetData>
    <row r="1" spans="1:5">
      <c r="A1" s="93" t="s">
        <v>15</v>
      </c>
      <c r="B1" s="93"/>
      <c r="C1" s="93"/>
      <c r="D1" s="93"/>
      <c r="E1" s="93"/>
    </row>
    <row r="2" spans="1:5">
      <c r="A2" s="93" t="s">
        <v>55</v>
      </c>
      <c r="B2" s="93"/>
      <c r="C2" s="93"/>
      <c r="D2" s="93"/>
      <c r="E2" s="93"/>
    </row>
    <row r="3" spans="1:5">
      <c r="A3" s="55"/>
    </row>
    <row r="4" spans="1:5">
      <c r="A4" s="94"/>
      <c r="B4" s="94"/>
      <c r="C4" s="94"/>
      <c r="D4" s="94"/>
      <c r="E4" s="94"/>
    </row>
    <row r="5" spans="1:5">
      <c r="A5" s="95" t="s">
        <v>17</v>
      </c>
      <c r="B5" s="95"/>
      <c r="C5" s="95"/>
      <c r="D5" s="95"/>
      <c r="E5" s="95"/>
    </row>
    <row r="6" spans="1:5">
      <c r="A6" s="56"/>
    </row>
    <row r="7" spans="1:5">
      <c r="A7" s="57" t="s">
        <v>18</v>
      </c>
    </row>
    <row r="8" spans="1:5">
      <c r="A8" s="55" t="s">
        <v>30</v>
      </c>
    </row>
    <row r="9" spans="1:5">
      <c r="A9" s="96" t="s">
        <v>29</v>
      </c>
      <c r="B9" s="97" t="s">
        <v>19</v>
      </c>
      <c r="C9" s="96" t="s">
        <v>56</v>
      </c>
      <c r="D9" s="96"/>
      <c r="E9" s="96"/>
    </row>
    <row r="10" spans="1:5" ht="40.5">
      <c r="A10" s="96"/>
      <c r="B10" s="97"/>
      <c r="C10" s="80" t="s">
        <v>20</v>
      </c>
      <c r="D10" s="80" t="s">
        <v>21</v>
      </c>
      <c r="E10" s="79" t="s">
        <v>14</v>
      </c>
    </row>
    <row r="11" spans="1:5">
      <c r="A11" s="60" t="s">
        <v>22</v>
      </c>
      <c r="B11" s="61" t="s">
        <v>10</v>
      </c>
      <c r="C11" s="62">
        <v>3049</v>
      </c>
      <c r="D11" s="62">
        <v>3049</v>
      </c>
      <c r="E11" s="62">
        <v>3049</v>
      </c>
    </row>
    <row r="12" spans="1:5">
      <c r="A12" s="63" t="s">
        <v>25</v>
      </c>
      <c r="B12" s="61" t="s">
        <v>2</v>
      </c>
      <c r="C12" s="21">
        <f t="shared" ref="C12:D12" si="0">+C13/C11</f>
        <v>272.40948507707452</v>
      </c>
      <c r="D12" s="21">
        <f t="shared" si="0"/>
        <v>68.10237126926863</v>
      </c>
      <c r="E12" s="21">
        <f>+E13/E11</f>
        <v>22.700790423089536</v>
      </c>
    </row>
    <row r="13" spans="1:5">
      <c r="A13" s="60" t="s">
        <v>11</v>
      </c>
      <c r="B13" s="61" t="s">
        <v>2</v>
      </c>
      <c r="C13" s="64">
        <f t="shared" ref="C13" si="1">SUM(C15+C29+C30+C31+C32+C33)</f>
        <v>830576.52000000014</v>
      </c>
      <c r="D13" s="64">
        <f>SUM(D15+D29+D30+D31+D32+D33)</f>
        <v>207644.13000000003</v>
      </c>
      <c r="E13" s="64">
        <f>SUM(E15+E29+E30+E31+E32+E33)</f>
        <v>69214.709999999992</v>
      </c>
    </row>
    <row r="14" spans="1:5">
      <c r="A14" s="65" t="s">
        <v>0</v>
      </c>
      <c r="B14" s="66"/>
      <c r="C14" s="21"/>
      <c r="D14" s="21"/>
      <c r="E14" s="21"/>
    </row>
    <row r="15" spans="1:5">
      <c r="A15" s="60" t="s">
        <v>12</v>
      </c>
      <c r="B15" s="61" t="s">
        <v>2</v>
      </c>
      <c r="C15" s="64">
        <f>SUM(C17+C20+C23+C26)</f>
        <v>712874.40000000014</v>
      </c>
      <c r="D15" s="64">
        <f>SUM(D17+D20+D23+D26)</f>
        <v>178218.60000000003</v>
      </c>
      <c r="E15" s="19">
        <f>SUM(E17+E20+E23+E26)</f>
        <v>59406.200000000004</v>
      </c>
    </row>
    <row r="16" spans="1:5">
      <c r="A16" s="65" t="s">
        <v>1</v>
      </c>
      <c r="B16" s="66"/>
      <c r="C16" s="21"/>
      <c r="D16" s="21"/>
      <c r="E16" s="21"/>
    </row>
    <row r="17" spans="1:8">
      <c r="A17" s="67" t="s">
        <v>54</v>
      </c>
      <c r="B17" s="61" t="s">
        <v>2</v>
      </c>
      <c r="C17" s="75">
        <f>SUM(+E17*12)</f>
        <v>17983.199999999997</v>
      </c>
      <c r="D17" s="75">
        <f>SUM(E17*3)</f>
        <v>4495.7999999999993</v>
      </c>
      <c r="E17" s="76">
        <v>1498.6</v>
      </c>
      <c r="F17" s="52"/>
      <c r="H17" s="68"/>
    </row>
    <row r="18" spans="1:8">
      <c r="A18" s="63" t="s">
        <v>4</v>
      </c>
      <c r="B18" s="69" t="s">
        <v>3</v>
      </c>
      <c r="C18" s="64">
        <f>+E18</f>
        <v>10</v>
      </c>
      <c r="D18" s="64">
        <f t="shared" ref="D18:D31" si="2">SUM(E18)</f>
        <v>10</v>
      </c>
      <c r="E18" s="64">
        <v>10</v>
      </c>
    </row>
    <row r="19" spans="1:8">
      <c r="A19" s="63" t="s">
        <v>27</v>
      </c>
      <c r="B19" s="61" t="s">
        <v>28</v>
      </c>
      <c r="C19" s="64">
        <f>SUM(+E19*12)</f>
        <v>1798.3199999999997</v>
      </c>
      <c r="D19" s="64">
        <f>SUM(E19*3)</f>
        <v>449.57999999999993</v>
      </c>
      <c r="E19" s="64">
        <f>+E17/E18</f>
        <v>149.85999999999999</v>
      </c>
    </row>
    <row r="20" spans="1:8">
      <c r="A20" s="67" t="s">
        <v>23</v>
      </c>
      <c r="B20" s="61" t="s">
        <v>2</v>
      </c>
      <c r="C20" s="75">
        <f>SUM(+E20*12)</f>
        <v>649413.60000000009</v>
      </c>
      <c r="D20" s="75">
        <f>SUM(E20*3)</f>
        <v>162353.40000000002</v>
      </c>
      <c r="E20" s="75">
        <f>54075.3+42.5</f>
        <v>54117.8</v>
      </c>
      <c r="F20" s="52"/>
      <c r="H20" s="68"/>
    </row>
    <row r="21" spans="1:8">
      <c r="A21" s="63" t="s">
        <v>4</v>
      </c>
      <c r="B21" s="69" t="s">
        <v>3</v>
      </c>
      <c r="C21" s="64">
        <f>+E21</f>
        <v>222</v>
      </c>
      <c r="D21" s="64">
        <f t="shared" ref="D21" si="3">SUM(E21)</f>
        <v>222</v>
      </c>
      <c r="E21" s="64">
        <v>222</v>
      </c>
    </row>
    <row r="22" spans="1:8">
      <c r="A22" s="63" t="s">
        <v>27</v>
      </c>
      <c r="B22" s="61" t="s">
        <v>28</v>
      </c>
      <c r="C22" s="78">
        <f>SUM(+E22*12)</f>
        <v>2925.2864864864869</v>
      </c>
      <c r="D22" s="78">
        <f>SUM(E22*3)</f>
        <v>731.32162162162172</v>
      </c>
      <c r="E22" s="78">
        <f>+E20/E21</f>
        <v>243.7738738738739</v>
      </c>
    </row>
    <row r="23" spans="1:8" ht="39">
      <c r="A23" s="70" t="s">
        <v>26</v>
      </c>
      <c r="B23" s="61" t="s">
        <v>2</v>
      </c>
      <c r="C23" s="75">
        <f>SUM(+E23*12)</f>
        <v>14752.800000000001</v>
      </c>
      <c r="D23" s="75">
        <f>SUM(E23*3)</f>
        <v>3688.2000000000003</v>
      </c>
      <c r="E23" s="75">
        <v>1229.4000000000001</v>
      </c>
      <c r="F23" s="52"/>
      <c r="H23" s="68"/>
    </row>
    <row r="24" spans="1:8">
      <c r="A24" s="63" t="s">
        <v>4</v>
      </c>
      <c r="B24" s="69" t="s">
        <v>3</v>
      </c>
      <c r="C24" s="21">
        <f>+E24</f>
        <v>9</v>
      </c>
      <c r="D24" s="21">
        <f t="shared" ref="D24" si="4">SUM(E24)</f>
        <v>9</v>
      </c>
      <c r="E24" s="21">
        <v>9</v>
      </c>
    </row>
    <row r="25" spans="1:8">
      <c r="A25" s="63" t="s">
        <v>27</v>
      </c>
      <c r="B25" s="61" t="s">
        <v>28</v>
      </c>
      <c r="C25" s="64">
        <f>SUM(+E25*12)</f>
        <v>1639.2000000000003</v>
      </c>
      <c r="D25" s="64">
        <f>SUM(E25*3)</f>
        <v>409.80000000000007</v>
      </c>
      <c r="E25" s="64">
        <f>+E23/E24</f>
        <v>136.60000000000002</v>
      </c>
    </row>
    <row r="26" spans="1:8">
      <c r="A26" s="67" t="s">
        <v>24</v>
      </c>
      <c r="B26" s="61" t="s">
        <v>2</v>
      </c>
      <c r="C26" s="75">
        <f>SUM(+E26*12)</f>
        <v>30724.800000000003</v>
      </c>
      <c r="D26" s="75">
        <f>SUM(E26*3)</f>
        <v>7681.2000000000007</v>
      </c>
      <c r="E26" s="75">
        <v>2560.4</v>
      </c>
      <c r="F26" s="52"/>
      <c r="H26" s="68"/>
    </row>
    <row r="27" spans="1:8">
      <c r="A27" s="63" t="s">
        <v>4</v>
      </c>
      <c r="B27" s="69" t="s">
        <v>3</v>
      </c>
      <c r="C27" s="64">
        <f>+E27</f>
        <v>44</v>
      </c>
      <c r="D27" s="64">
        <f t="shared" ref="D27" si="5">SUM(E27)</f>
        <v>44</v>
      </c>
      <c r="E27" s="64">
        <v>44</v>
      </c>
    </row>
    <row r="28" spans="1:8">
      <c r="A28" s="63" t="s">
        <v>27</v>
      </c>
      <c r="B28" s="61" t="s">
        <v>28</v>
      </c>
      <c r="C28" s="64">
        <f>SUM(+E28*12)</f>
        <v>698.29090909090917</v>
      </c>
      <c r="D28" s="64">
        <f>SUM(E28*3)</f>
        <v>174.57272727272729</v>
      </c>
      <c r="E28" s="64">
        <f>+E26/E27</f>
        <v>58.190909090909095</v>
      </c>
    </row>
    <row r="29" spans="1:8">
      <c r="A29" s="60" t="s">
        <v>5</v>
      </c>
      <c r="B29" s="61" t="s">
        <v>2</v>
      </c>
      <c r="C29" s="75">
        <f>SUM(+E29*12)</f>
        <v>91341.599999999991</v>
      </c>
      <c r="D29" s="75">
        <f>SUM(E29*3)</f>
        <v>22835.399999999998</v>
      </c>
      <c r="E29" s="75">
        <f>4447.2+3164.6</f>
        <v>7611.7999999999993</v>
      </c>
      <c r="F29" s="52"/>
      <c r="H29" s="68"/>
    </row>
    <row r="30" spans="1:8" ht="36.75">
      <c r="A30" s="71" t="s">
        <v>6</v>
      </c>
      <c r="B30" s="61" t="s">
        <v>2</v>
      </c>
      <c r="C30" s="75">
        <f>SUM(+E30*12)</f>
        <v>23336.400000000001</v>
      </c>
      <c r="D30" s="75">
        <f>SUM(E30*3)</f>
        <v>5834.1</v>
      </c>
      <c r="E30" s="75">
        <f>1943.7+1</f>
        <v>1944.7</v>
      </c>
    </row>
    <row r="31" spans="1:8">
      <c r="A31" s="71" t="s">
        <v>7</v>
      </c>
      <c r="B31" s="61" t="s">
        <v>2</v>
      </c>
      <c r="C31" s="75">
        <f t="shared" ref="C31" si="6">SUM(+E31*3)</f>
        <v>0</v>
      </c>
      <c r="D31" s="75">
        <f t="shared" si="2"/>
        <v>0</v>
      </c>
      <c r="E31" s="75"/>
    </row>
    <row r="32" spans="1:8" ht="36.75">
      <c r="A32" s="71" t="s">
        <v>8</v>
      </c>
      <c r="B32" s="61" t="s">
        <v>2</v>
      </c>
      <c r="C32" s="75">
        <f>SUM(+E32*12)</f>
        <v>20.04</v>
      </c>
      <c r="D32" s="75">
        <f>SUM(E32*3)</f>
        <v>5.01</v>
      </c>
      <c r="E32" s="75">
        <f>1.67</f>
        <v>1.67</v>
      </c>
    </row>
    <row r="33" spans="1:10" ht="52.5">
      <c r="A33" s="71" t="s">
        <v>9</v>
      </c>
      <c r="B33" s="61" t="s">
        <v>2</v>
      </c>
      <c r="C33" s="75">
        <f>SUM(+E33*12)</f>
        <v>3004.08</v>
      </c>
      <c r="D33" s="75">
        <f>SUM(E33*3)</f>
        <v>751.02</v>
      </c>
      <c r="E33" s="75">
        <v>250.34</v>
      </c>
    </row>
    <row r="35" spans="1:10">
      <c r="F35" s="52"/>
      <c r="G35" s="52"/>
      <c r="H35" s="52"/>
      <c r="J35" s="72"/>
    </row>
    <row r="40" spans="1:10">
      <c r="B40" s="50"/>
    </row>
    <row r="41" spans="1:10">
      <c r="B41" s="50"/>
    </row>
    <row r="42" spans="1:10">
      <c r="B42" s="50"/>
    </row>
    <row r="43" spans="1:10">
      <c r="B43" s="50"/>
    </row>
    <row r="44" spans="1:10">
      <c r="B44" s="50"/>
    </row>
    <row r="45" spans="1:10">
      <c r="B45" s="50"/>
    </row>
    <row r="46" spans="1:10">
      <c r="B46" s="50"/>
    </row>
    <row r="47" spans="1:10">
      <c r="B47" s="50"/>
    </row>
    <row r="48" spans="1:10">
      <c r="B48" s="50"/>
    </row>
    <row r="49" spans="2:2">
      <c r="B49" s="50"/>
    </row>
    <row r="50" spans="2:2">
      <c r="B50" s="50"/>
    </row>
    <row r="51" spans="2:2">
      <c r="B51" s="50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51"/>
  <sheetViews>
    <sheetView tabSelected="1" topLeftCell="A31" workbookViewId="0">
      <selection sqref="A1:E33"/>
    </sheetView>
  </sheetViews>
  <sheetFormatPr defaultColWidth="9.140625" defaultRowHeight="20.25"/>
  <cols>
    <col min="1" max="1" width="65.7109375" style="50" customWidth="1"/>
    <col min="2" max="2" width="10.85546875" style="51" customWidth="1"/>
    <col min="3" max="3" width="12.7109375" style="50" customWidth="1"/>
    <col min="4" max="4" width="12.5703125" style="50" customWidth="1"/>
    <col min="5" max="5" width="12" style="50" customWidth="1"/>
    <col min="6" max="6" width="17.7109375" style="50" customWidth="1"/>
    <col min="7" max="7" width="16.7109375" style="50" customWidth="1"/>
    <col min="8" max="8" width="17" style="50" customWidth="1"/>
    <col min="9" max="9" width="9.140625" style="50"/>
    <col min="10" max="10" width="16.140625" style="50" customWidth="1"/>
    <col min="11" max="11" width="16.7109375" style="50" customWidth="1"/>
    <col min="12" max="16384" width="9.140625" style="50"/>
  </cols>
  <sheetData>
    <row r="1" spans="1:5">
      <c r="A1" s="93" t="s">
        <v>15</v>
      </c>
      <c r="B1" s="93"/>
      <c r="C1" s="93"/>
      <c r="D1" s="93"/>
      <c r="E1" s="93"/>
    </row>
    <row r="2" spans="1:5">
      <c r="A2" s="93" t="s">
        <v>57</v>
      </c>
      <c r="B2" s="93"/>
      <c r="C2" s="93"/>
      <c r="D2" s="93"/>
      <c r="E2" s="93"/>
    </row>
    <row r="3" spans="1:5">
      <c r="A3" s="55"/>
    </row>
    <row r="4" spans="1:5">
      <c r="A4" s="94"/>
      <c r="B4" s="94"/>
      <c r="C4" s="94"/>
      <c r="D4" s="94"/>
      <c r="E4" s="94"/>
    </row>
    <row r="5" spans="1:5">
      <c r="A5" s="95" t="s">
        <v>17</v>
      </c>
      <c r="B5" s="95"/>
      <c r="C5" s="95"/>
      <c r="D5" s="95"/>
      <c r="E5" s="95"/>
    </row>
    <row r="6" spans="1:5">
      <c r="A6" s="56"/>
    </row>
    <row r="7" spans="1:5">
      <c r="A7" s="57" t="s">
        <v>18</v>
      </c>
    </row>
    <row r="8" spans="1:5">
      <c r="A8" s="55" t="s">
        <v>30</v>
      </c>
    </row>
    <row r="9" spans="1:5">
      <c r="A9" s="96" t="s">
        <v>29</v>
      </c>
      <c r="B9" s="97" t="s">
        <v>19</v>
      </c>
      <c r="C9" s="96" t="s">
        <v>56</v>
      </c>
      <c r="D9" s="96"/>
      <c r="E9" s="96"/>
    </row>
    <row r="10" spans="1:5" ht="40.5">
      <c r="A10" s="96"/>
      <c r="B10" s="97"/>
      <c r="C10" s="82" t="s">
        <v>20</v>
      </c>
      <c r="D10" s="82" t="s">
        <v>21</v>
      </c>
      <c r="E10" s="81" t="s">
        <v>14</v>
      </c>
    </row>
    <row r="11" spans="1:5">
      <c r="A11" s="60" t="s">
        <v>22</v>
      </c>
      <c r="B11" s="61" t="s">
        <v>10</v>
      </c>
      <c r="C11" s="62">
        <v>3049</v>
      </c>
      <c r="D11" s="62">
        <v>3049</v>
      </c>
      <c r="E11" s="62">
        <v>3049</v>
      </c>
    </row>
    <row r="12" spans="1:5">
      <c r="A12" s="63" t="s">
        <v>25</v>
      </c>
      <c r="B12" s="61" t="s">
        <v>2</v>
      </c>
      <c r="C12" s="21">
        <f t="shared" ref="C12:D12" si="0">+C13/C11</f>
        <v>304.31939652345028</v>
      </c>
      <c r="D12" s="21">
        <f t="shared" si="0"/>
        <v>167.80879304690063</v>
      </c>
      <c r="E12" s="21">
        <f>+E13/E11</f>
        <v>95.791921941620203</v>
      </c>
    </row>
    <row r="13" spans="1:5">
      <c r="A13" s="60" t="s">
        <v>11</v>
      </c>
      <c r="B13" s="61" t="s">
        <v>2</v>
      </c>
      <c r="C13" s="64">
        <f t="shared" ref="C13" si="1">SUM(C15+C29+C30+C31+C32+C33)</f>
        <v>927869.84</v>
      </c>
      <c r="D13" s="64">
        <f>SUM(D15+D29+D30+D31+D32+D33)</f>
        <v>511649.01</v>
      </c>
      <c r="E13" s="64">
        <f>SUM(E15+E29+E30+E31+E32+E33)</f>
        <v>292069.57</v>
      </c>
    </row>
    <row r="14" spans="1:5">
      <c r="A14" s="65" t="s">
        <v>0</v>
      </c>
      <c r="B14" s="66"/>
      <c r="C14" s="21"/>
      <c r="D14" s="21"/>
      <c r="E14" s="21"/>
    </row>
    <row r="15" spans="1:5">
      <c r="A15" s="60" t="s">
        <v>12</v>
      </c>
      <c r="B15" s="61" t="s">
        <v>2</v>
      </c>
      <c r="C15" s="19">
        <f>SUM(C17+C20+C23+C26)</f>
        <v>776993.90000000014</v>
      </c>
      <c r="D15" s="19">
        <f>SUM(D17+D20+D23+D26)</f>
        <v>430095.60000000003</v>
      </c>
      <c r="E15" s="19">
        <f>SUM(E17+E20+E23+E26)</f>
        <v>250816.3</v>
      </c>
    </row>
    <row r="16" spans="1:5">
      <c r="A16" s="65" t="s">
        <v>1</v>
      </c>
      <c r="B16" s="66"/>
      <c r="C16" s="21"/>
      <c r="D16" s="21"/>
      <c r="E16" s="21"/>
    </row>
    <row r="17" spans="1:8">
      <c r="A17" s="67" t="s">
        <v>54</v>
      </c>
      <c r="B17" s="61" t="s">
        <v>2</v>
      </c>
      <c r="C17" s="75">
        <v>83457.3</v>
      </c>
      <c r="D17" s="75">
        <v>32648.7</v>
      </c>
      <c r="E17" s="76">
        <v>16587.099999999999</v>
      </c>
      <c r="F17" s="52"/>
      <c r="H17" s="68"/>
    </row>
    <row r="18" spans="1:8">
      <c r="A18" s="63" t="s">
        <v>4</v>
      </c>
      <c r="B18" s="69" t="s">
        <v>3</v>
      </c>
      <c r="C18" s="64">
        <f>+E18</f>
        <v>10</v>
      </c>
      <c r="D18" s="64">
        <f t="shared" ref="D18" si="2">SUM(E18)</f>
        <v>10</v>
      </c>
      <c r="E18" s="64">
        <v>10</v>
      </c>
    </row>
    <row r="19" spans="1:8">
      <c r="A19" s="63" t="s">
        <v>27</v>
      </c>
      <c r="B19" s="61" t="s">
        <v>28</v>
      </c>
      <c r="C19" s="64">
        <f>SUM(+E19*12)</f>
        <v>19904.519999999997</v>
      </c>
      <c r="D19" s="64">
        <f>SUM(E19*3)</f>
        <v>4976.1299999999992</v>
      </c>
      <c r="E19" s="64">
        <f>+E17/E18</f>
        <v>1658.7099999999998</v>
      </c>
    </row>
    <row r="20" spans="1:8">
      <c r="A20" s="67" t="s">
        <v>23</v>
      </c>
      <c r="B20" s="61" t="s">
        <v>2</v>
      </c>
      <c r="C20" s="75">
        <f>538698.9-95.7</f>
        <v>538603.20000000007</v>
      </c>
      <c r="D20" s="75">
        <v>337952.9</v>
      </c>
      <c r="E20" s="75">
        <v>201094</v>
      </c>
      <c r="F20" s="52"/>
      <c r="H20" s="68"/>
    </row>
    <row r="21" spans="1:8">
      <c r="A21" s="63" t="s">
        <v>4</v>
      </c>
      <c r="B21" s="69" t="s">
        <v>3</v>
      </c>
      <c r="C21" s="64">
        <f>+E21</f>
        <v>222</v>
      </c>
      <c r="D21" s="64">
        <f t="shared" ref="D21" si="3">SUM(E21)</f>
        <v>222</v>
      </c>
      <c r="E21" s="64">
        <v>222</v>
      </c>
    </row>
    <row r="22" spans="1:8">
      <c r="A22" s="63" t="s">
        <v>27</v>
      </c>
      <c r="B22" s="61" t="s">
        <v>28</v>
      </c>
      <c r="C22" s="78">
        <f>SUM(+E22*12)</f>
        <v>10869.945945945947</v>
      </c>
      <c r="D22" s="78">
        <f>SUM(E22*3)</f>
        <v>2717.4864864864867</v>
      </c>
      <c r="E22" s="78">
        <f>+E20/E21</f>
        <v>905.82882882882882</v>
      </c>
    </row>
    <row r="23" spans="1:8" ht="39">
      <c r="A23" s="70" t="s">
        <v>26</v>
      </c>
      <c r="B23" s="61" t="s">
        <v>2</v>
      </c>
      <c r="C23" s="75">
        <v>81365.3</v>
      </c>
      <c r="D23" s="75">
        <v>31894.7</v>
      </c>
      <c r="E23" s="75">
        <v>15698.9</v>
      </c>
      <c r="F23" s="52"/>
      <c r="H23" s="68"/>
    </row>
    <row r="24" spans="1:8">
      <c r="A24" s="63" t="s">
        <v>4</v>
      </c>
      <c r="B24" s="69" t="s">
        <v>3</v>
      </c>
      <c r="C24" s="21">
        <f>+E24</f>
        <v>9</v>
      </c>
      <c r="D24" s="21">
        <f t="shared" ref="D24" si="4">SUM(E24)</f>
        <v>9</v>
      </c>
      <c r="E24" s="21">
        <v>9</v>
      </c>
    </row>
    <row r="25" spans="1:8">
      <c r="A25" s="63" t="s">
        <v>27</v>
      </c>
      <c r="B25" s="61" t="s">
        <v>28</v>
      </c>
      <c r="C25" s="64">
        <f>SUM(+E25*12)</f>
        <v>20931.866666666665</v>
      </c>
      <c r="D25" s="64">
        <f>SUM(E25*3)</f>
        <v>5232.9666666666662</v>
      </c>
      <c r="E25" s="64">
        <f>+E23/E24</f>
        <v>1744.3222222222221</v>
      </c>
    </row>
    <row r="26" spans="1:8">
      <c r="A26" s="67" t="s">
        <v>24</v>
      </c>
      <c r="B26" s="61" t="s">
        <v>2</v>
      </c>
      <c r="C26" s="75">
        <v>73568.100000000006</v>
      </c>
      <c r="D26" s="75">
        <v>27599.3</v>
      </c>
      <c r="E26" s="75">
        <v>17436.3</v>
      </c>
      <c r="F26" s="52"/>
      <c r="H26" s="68"/>
    </row>
    <row r="27" spans="1:8">
      <c r="A27" s="63" t="s">
        <v>4</v>
      </c>
      <c r="B27" s="69" t="s">
        <v>3</v>
      </c>
      <c r="C27" s="64">
        <f>+E27</f>
        <v>44</v>
      </c>
      <c r="D27" s="64">
        <f t="shared" ref="D27" si="5">SUM(E27)</f>
        <v>44</v>
      </c>
      <c r="E27" s="64">
        <v>44</v>
      </c>
    </row>
    <row r="28" spans="1:8">
      <c r="A28" s="63" t="s">
        <v>27</v>
      </c>
      <c r="B28" s="61" t="s">
        <v>28</v>
      </c>
      <c r="C28" s="64">
        <f>SUM(+E28*12)</f>
        <v>4755.3545454545456</v>
      </c>
      <c r="D28" s="64">
        <f>SUM(E28*3)</f>
        <v>1188.8386363636364</v>
      </c>
      <c r="E28" s="64">
        <f>+E26/E27</f>
        <v>396.27954545454543</v>
      </c>
    </row>
    <row r="29" spans="1:8">
      <c r="A29" s="60" t="s">
        <v>5</v>
      </c>
      <c r="B29" s="61" t="s">
        <v>2</v>
      </c>
      <c r="C29" s="75">
        <v>98994.2</v>
      </c>
      <c r="D29" s="75">
        <v>51918.5</v>
      </c>
      <c r="E29" s="75">
        <f>29082.8</f>
        <v>29082.799999999999</v>
      </c>
      <c r="F29" s="52"/>
      <c r="H29" s="68"/>
    </row>
    <row r="30" spans="1:8" ht="36.75">
      <c r="A30" s="71" t="s">
        <v>6</v>
      </c>
      <c r="B30" s="61" t="s">
        <v>2</v>
      </c>
      <c r="C30" s="75">
        <f>SUM(+E30*12)</f>
        <v>9754.44</v>
      </c>
      <c r="D30" s="75">
        <f>SUM(E30*3)+5834.1</f>
        <v>8272.7100000000009</v>
      </c>
      <c r="E30" s="75">
        <f>785.8+8+19.07</f>
        <v>812.87</v>
      </c>
    </row>
    <row r="31" spans="1:8">
      <c r="A31" s="71" t="s">
        <v>7</v>
      </c>
      <c r="B31" s="61" t="s">
        <v>2</v>
      </c>
      <c r="C31" s="75">
        <f t="shared" ref="C31" si="6">SUM(+E31*3)</f>
        <v>257.10000000000002</v>
      </c>
      <c r="D31" s="75">
        <f>SUM(E31*3)</f>
        <v>257.10000000000002</v>
      </c>
      <c r="E31" s="75">
        <v>85.7</v>
      </c>
    </row>
    <row r="32" spans="1:8" ht="36.75">
      <c r="A32" s="71" t="s">
        <v>8</v>
      </c>
      <c r="B32" s="61" t="s">
        <v>2</v>
      </c>
      <c r="C32" s="75">
        <f>SUM(+E32*12)</f>
        <v>774</v>
      </c>
      <c r="D32" s="75">
        <f>SUM(E32*3)+5</f>
        <v>198.5</v>
      </c>
      <c r="E32" s="75">
        <f>64.5</f>
        <v>64.5</v>
      </c>
    </row>
    <row r="33" spans="1:10" ht="52.5">
      <c r="A33" s="71" t="s">
        <v>9</v>
      </c>
      <c r="B33" s="61" t="s">
        <v>2</v>
      </c>
      <c r="C33" s="75">
        <f>38092.1+3004.1</f>
        <v>41096.199999999997</v>
      </c>
      <c r="D33" s="75">
        <f>751+20155.6</f>
        <v>20906.599999999999</v>
      </c>
      <c r="E33" s="75">
        <f>11183.6+14.9+8.9</f>
        <v>11207.4</v>
      </c>
    </row>
    <row r="35" spans="1:10">
      <c r="F35" s="52"/>
      <c r="G35" s="52"/>
      <c r="H35" s="52"/>
      <c r="J35" s="72"/>
    </row>
    <row r="40" spans="1:10">
      <c r="B40" s="50"/>
    </row>
    <row r="41" spans="1:10">
      <c r="B41" s="50"/>
    </row>
    <row r="42" spans="1:10">
      <c r="B42" s="50"/>
    </row>
    <row r="43" spans="1:10">
      <c r="B43" s="50"/>
    </row>
    <row r="44" spans="1:10">
      <c r="B44" s="50"/>
    </row>
    <row r="45" spans="1:10">
      <c r="B45" s="50"/>
    </row>
    <row r="46" spans="1:10">
      <c r="B46" s="50"/>
    </row>
    <row r="47" spans="1:10">
      <c r="B47" s="50"/>
    </row>
    <row r="48" spans="1:10">
      <c r="B48" s="50"/>
    </row>
    <row r="49" spans="2:2">
      <c r="B49" s="50"/>
    </row>
    <row r="50" spans="2:2">
      <c r="B50" s="50"/>
    </row>
    <row r="51" spans="2:2">
      <c r="B51" s="50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Коянды</vt:lpstr>
      <vt:lpstr>1кв2019</vt:lpstr>
      <vt:lpstr>2кв2019</vt:lpstr>
      <vt:lpstr>3кв2019</vt:lpstr>
      <vt:lpstr>4кв2019</vt:lpstr>
      <vt:lpstr>Лист1</vt:lpstr>
      <vt:lpstr>1кв2020</vt:lpstr>
      <vt:lpstr>2кв2020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2020-07-29T06:34:57Z</dcterms:modified>
</cp:coreProperties>
</file>